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6600" windowHeight="13360" tabRatio="948" firstSheet="30" activeTab="40"/>
  </bookViews>
  <sheets>
    <sheet name="OILCCALSUMMARY" sheetId="1" r:id="rId1"/>
    <sheet name="OILCSUMMARY" sheetId="2" r:id="rId2"/>
    <sheet name="13056_DININGHALL" sheetId="3" r:id="rId3"/>
    <sheet name="13057_THEATER" sheetId="4" r:id="rId4"/>
    <sheet name="13058_DALRYMPLE" sheetId="5" r:id="rId5"/>
    <sheet name="13059_AUD" sheetId="6" r:id="rId6"/>
    <sheet name="13060_LIBRARY" sheetId="7" r:id="rId7"/>
    <sheet name="13061_PRESSERWEST" sheetId="8" r:id="rId8"/>
    <sheet name="13062_SCIENCEBLDG" sheetId="9" r:id="rId9"/>
    <sheet name="13063_HOWLAND" sheetId="10" r:id="rId10"/>
    <sheet name="13064_SCHRADER" sheetId="11" r:id="rId11"/>
    <sheet name="13065_HALFWAY" sheetId="12" r:id="rId12"/>
    <sheet name="13066_ALLTHEWAY" sheetId="13" r:id="rId13"/>
    <sheet name="13067_RANDOMNORTH" sheetId="14" r:id="rId14"/>
    <sheet name="13068_HENDRICKS" sheetId="15" r:id="rId15"/>
    <sheet name="13069_CAMPUSCENTER" sheetId="16" r:id="rId16"/>
    <sheet name="13070_HAPPYVALLEY" sheetId="17" r:id="rId17"/>
    <sheet name="13071_RANDOMSOUTH" sheetId="18" r:id="rId18"/>
    <sheet name="13072_COT5" sheetId="19" r:id="rId19"/>
    <sheet name="13073_PRESSER" sheetId="20" r:id="rId20"/>
    <sheet name="13074_APPLETREE" sheetId="21" r:id="rId21"/>
    <sheet name="13075_ADMISSIONS" sheetId="22" r:id="rId22"/>
    <sheet name="13077_HAPPYVALLEY" sheetId="23" r:id="rId23"/>
    <sheet name="13078_COT1" sheetId="24" r:id="rId24"/>
    <sheet name="13079_COT2" sheetId="25" r:id="rId25"/>
    <sheet name="13080_COT3" sheetId="26" r:id="rId26"/>
    <sheet name="13081_COT4" sheetId="27" r:id="rId27"/>
    <sheet name="13082_MACHOUSE" sheetId="28" r:id="rId28"/>
    <sheet name="13083_MUMFORD" sheetId="29" r:id="rId29"/>
    <sheet name="13084_REDHOUSE" sheetId="30" r:id="rId30"/>
    <sheet name="13085_POTTERY" sheetId="31" r:id="rId31"/>
    <sheet name="13112_PERRINE" sheetId="32" r:id="rId32"/>
    <sheet name="13113_CABIN2" sheetId="33" r:id="rId33"/>
    <sheet name="13137_CABIN1" sheetId="34" r:id="rId34"/>
    <sheet name="13491_MAINT" sheetId="35" r:id="rId35"/>
    <sheet name="13645_MARLNORTH" sheetId="36" r:id="rId36"/>
    <sheet name="14747_NEWMAINT" sheetId="37" r:id="rId37"/>
    <sheet name="14766_WHITTEMORE" sheetId="38" r:id="rId38"/>
    <sheet name="17736_OUTOFWAY" sheetId="39" r:id="rId39"/>
    <sheet name="21054_COT6" sheetId="40" r:id="rId40"/>
    <sheet name="22164_SERKIN BLD" sheetId="41" r:id="rId41"/>
  </sheets>
  <definedNames/>
  <calcPr fullCalcOnLoad="1"/>
</workbook>
</file>

<file path=xl/sharedStrings.xml><?xml version="1.0" encoding="utf-8"?>
<sst xmlns="http://schemas.openxmlformats.org/spreadsheetml/2006/main" count="1770" uniqueCount="39">
  <si>
    <t xml:space="preserve">ANNUAL </t>
  </si>
  <si>
    <t>YEAR</t>
  </si>
  <si>
    <t>COST</t>
  </si>
  <si>
    <t>1998 ytd</t>
  </si>
  <si>
    <t xml:space="preserve">SUMMARY </t>
  </si>
  <si>
    <t>INVOICE</t>
  </si>
  <si>
    <t>MONTH</t>
  </si>
  <si>
    <t>GALLONS</t>
  </si>
  <si>
    <t>AMOUNT</t>
  </si>
  <si>
    <t>JAN</t>
  </si>
  <si>
    <t>FEB</t>
  </si>
  <si>
    <t>MAR</t>
  </si>
  <si>
    <t>APRIL</t>
  </si>
  <si>
    <t xml:space="preserve">MAY </t>
  </si>
  <si>
    <t>JUNE</t>
  </si>
  <si>
    <t xml:space="preserve">JULY </t>
  </si>
  <si>
    <t>AUG</t>
  </si>
  <si>
    <t>SEPT</t>
  </si>
  <si>
    <t>OCT</t>
  </si>
  <si>
    <t>NOV</t>
  </si>
  <si>
    <t>DEC</t>
  </si>
  <si>
    <t>TOTAL</t>
  </si>
  <si>
    <t>DATE</t>
  </si>
  <si>
    <t>APR</t>
  </si>
  <si>
    <t>GAL</t>
  </si>
  <si>
    <t>MARBORO COLLEGE OIL USAGE</t>
  </si>
  <si>
    <t xml:space="preserve"> </t>
  </si>
  <si>
    <t>GALLON</t>
  </si>
  <si>
    <t>01-55500-60.16</t>
  </si>
  <si>
    <t>01-55500-5019</t>
  </si>
  <si>
    <t>01-55500-6016</t>
  </si>
  <si>
    <t>01-5550060.16</t>
  </si>
  <si>
    <t>01-55500-50.19</t>
  </si>
  <si>
    <t>2002</t>
  </si>
  <si>
    <t>invoice</t>
  </si>
  <si>
    <t>01-13160-00</t>
  </si>
  <si>
    <t>Gal usage</t>
  </si>
  <si>
    <t>Dollar (annual)</t>
  </si>
  <si>
    <t>01-55500--50.19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</si>
</sst>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&quot;$&quot;#,##0.000_);\(&quot;$&quot;#,##0.000\)"/>
    <numFmt numFmtId="166" formatCode="0.0"/>
    <numFmt numFmtId="167" formatCode="0.000"/>
    <numFmt numFmtId="168" formatCode="&quot;$&quot;#,##0.0000_);\(&quot;$&quot;#,##0.0000\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??_);_(@_)"/>
    <numFmt numFmtId="172" formatCode="&quot;$&quot;#,##0.00"/>
  </numFmts>
  <fonts count="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Alignment="1">
      <alignment/>
    </xf>
    <xf numFmtId="7" fontId="0" fillId="0" borderId="0" xfId="0" applyNumberFormat="1" applyAlignment="1">
      <alignment/>
    </xf>
    <xf numFmtId="5" fontId="1" fillId="0" borderId="0" xfId="0" applyNumberFormat="1" applyFont="1" applyAlignment="1">
      <alignment/>
    </xf>
    <xf numFmtId="7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" fontId="1" fillId="0" borderId="2" xfId="0" applyNumberFormat="1" applyFont="1" applyBorder="1" applyAlignment="1">
      <alignment horizontal="left"/>
    </xf>
    <xf numFmtId="1" fontId="1" fillId="0" borderId="3" xfId="0" applyNumberFormat="1" applyFont="1" applyBorder="1" applyAlignment="1">
      <alignment horizontal="left"/>
    </xf>
    <xf numFmtId="1" fontId="1" fillId="0" borderId="4" xfId="0" applyNumberFormat="1" applyFont="1" applyBorder="1" applyAlignment="1">
      <alignment horizontal="left"/>
    </xf>
    <xf numFmtId="7" fontId="1" fillId="0" borderId="5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7" fontId="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5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5" fontId="1" fillId="0" borderId="7" xfId="0" applyNumberFormat="1" applyFont="1" applyBorder="1" applyAlignment="1">
      <alignment/>
    </xf>
    <xf numFmtId="7" fontId="0" fillId="0" borderId="5" xfId="0" applyNumberFormat="1" applyBorder="1" applyAlignment="1">
      <alignment/>
    </xf>
    <xf numFmtId="7" fontId="0" fillId="0" borderId="7" xfId="0" applyNumberFormat="1" applyBorder="1" applyAlignment="1">
      <alignment/>
    </xf>
    <xf numFmtId="0" fontId="1" fillId="0" borderId="8" xfId="0" applyNumberFormat="1" applyFont="1" applyBorder="1" applyAlignment="1">
      <alignment/>
    </xf>
    <xf numFmtId="0" fontId="0" fillId="0" borderId="6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6" xfId="0" applyBorder="1" applyAlignment="1">
      <alignment/>
    </xf>
    <xf numFmtId="0" fontId="1" fillId="0" borderId="9" xfId="0" applyNumberFormat="1" applyFont="1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5" fontId="1" fillId="0" borderId="10" xfId="0" applyNumberFormat="1" applyFont="1" applyBorder="1" applyAlignment="1">
      <alignment horizontal="center"/>
    </xf>
    <xf numFmtId="5" fontId="1" fillId="0" borderId="7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5" fontId="1" fillId="0" borderId="5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5" fontId="1" fillId="0" borderId="7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0" xfId="0" applyFont="1" applyFill="1" applyAlignment="1">
      <alignment horizontal="center"/>
    </xf>
    <xf numFmtId="1" fontId="4" fillId="2" borderId="0" xfId="0" applyNumberFormat="1" applyFont="1" applyFill="1" applyAlignment="1">
      <alignment horizontal="left"/>
    </xf>
    <xf numFmtId="2" fontId="1" fillId="0" borderId="3" xfId="0" applyNumberFormat="1" applyFont="1" applyBorder="1" applyAlignment="1">
      <alignment/>
    </xf>
    <xf numFmtId="5" fontId="1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5" fontId="1" fillId="0" borderId="6" xfId="0" applyNumberFormat="1" applyFont="1" applyBorder="1" applyAlignment="1">
      <alignment/>
    </xf>
    <xf numFmtId="5" fontId="1" fillId="0" borderId="6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5" fontId="1" fillId="0" borderId="2" xfId="0" applyNumberFormat="1" applyFont="1" applyBorder="1" applyAlignment="1">
      <alignment/>
    </xf>
    <xf numFmtId="5" fontId="1" fillId="0" borderId="7" xfId="0" applyNumberFormat="1" applyFont="1" applyBorder="1" applyAlignment="1">
      <alignment/>
    </xf>
    <xf numFmtId="0" fontId="1" fillId="0" borderId="8" xfId="17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NumberFormat="1" applyFont="1" applyAlignment="1">
      <alignment/>
    </xf>
    <xf numFmtId="171" fontId="1" fillId="0" borderId="9" xfId="0" applyNumberFormat="1" applyFont="1" applyBorder="1" applyAlignment="1">
      <alignment/>
    </xf>
    <xf numFmtId="5" fontId="1" fillId="0" borderId="12" xfId="0" applyNumberFormat="1" applyFont="1" applyBorder="1" applyAlignment="1">
      <alignment horizontal="center"/>
    </xf>
    <xf numFmtId="5" fontId="0" fillId="0" borderId="13" xfId="0" applyNumberFormat="1" applyBorder="1" applyAlignment="1">
      <alignment/>
    </xf>
    <xf numFmtId="0" fontId="1" fillId="0" borderId="14" xfId="0" applyFont="1" applyBorder="1" applyAlignment="1">
      <alignment horizontal="left"/>
    </xf>
    <xf numFmtId="3" fontId="1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5" fontId="1" fillId="0" borderId="13" xfId="0" applyNumberFormat="1" applyFont="1" applyBorder="1" applyAlignment="1">
      <alignment horizontal="center"/>
    </xf>
    <xf numFmtId="5" fontId="1" fillId="0" borderId="15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7" fontId="0" fillId="0" borderId="5" xfId="0" applyNumberFormat="1" applyFill="1" applyBorder="1" applyAlignment="1">
      <alignment/>
    </xf>
    <xf numFmtId="0" fontId="0" fillId="0" borderId="6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72" fontId="0" fillId="0" borderId="5" xfId="0" applyNumberFormat="1" applyBorder="1" applyAlignment="1">
      <alignment/>
    </xf>
    <xf numFmtId="172" fontId="0" fillId="0" borderId="10" xfId="0" applyNumberFormat="1" applyBorder="1" applyAlignment="1">
      <alignment/>
    </xf>
    <xf numFmtId="7" fontId="1" fillId="0" borderId="7" xfId="0" applyNumberFormat="1" applyFont="1" applyBorder="1" applyAlignment="1">
      <alignment/>
    </xf>
    <xf numFmtId="7" fontId="1" fillId="0" borderId="7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172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172" fontId="0" fillId="0" borderId="5" xfId="0" applyNumberFormat="1" applyFill="1" applyBorder="1" applyAlignment="1">
      <alignment/>
    </xf>
    <xf numFmtId="172" fontId="1" fillId="0" borderId="7" xfId="0" applyNumberFormat="1" applyFont="1" applyBorder="1" applyAlignment="1">
      <alignment/>
    </xf>
    <xf numFmtId="5" fontId="0" fillId="0" borderId="10" xfId="0" applyNumberFormat="1" applyBorder="1" applyAlignment="1">
      <alignment/>
    </xf>
    <xf numFmtId="0" fontId="1" fillId="0" borderId="7" xfId="0" applyFont="1" applyBorder="1" applyAlignment="1">
      <alignment/>
    </xf>
    <xf numFmtId="1" fontId="0" fillId="0" borderId="4" xfId="0" applyNumberFormat="1" applyBorder="1" applyAlignment="1">
      <alignment horizontal="center"/>
    </xf>
    <xf numFmtId="172" fontId="1" fillId="0" borderId="7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7" fontId="1" fillId="0" borderId="8" xfId="0" applyNumberFormat="1" applyFont="1" applyBorder="1" applyAlignment="1">
      <alignment/>
    </xf>
    <xf numFmtId="172" fontId="1" fillId="0" borderId="8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37" fontId="0" fillId="0" borderId="0" xfId="0" applyNumberFormat="1" applyAlignment="1">
      <alignment/>
    </xf>
    <xf numFmtId="14" fontId="1" fillId="3" borderId="0" xfId="0" applyNumberFormat="1" applyFont="1" applyFill="1" applyAlignment="1">
      <alignment horizontal="center"/>
    </xf>
    <xf numFmtId="44" fontId="0" fillId="0" borderId="0" xfId="0" applyNumberFormat="1" applyAlignment="1">
      <alignment/>
    </xf>
    <xf numFmtId="44" fontId="1" fillId="0" borderId="5" xfId="0" applyNumberFormat="1" applyFont="1" applyBorder="1" applyAlignment="1">
      <alignment horizontal="center"/>
    </xf>
    <xf numFmtId="44" fontId="0" fillId="0" borderId="5" xfId="0" applyNumberFormat="1" applyFill="1" applyBorder="1" applyAlignment="1">
      <alignment/>
    </xf>
    <xf numFmtId="44" fontId="0" fillId="0" borderId="5" xfId="0" applyNumberFormat="1" applyBorder="1" applyAlignment="1">
      <alignment/>
    </xf>
    <xf numFmtId="44" fontId="1" fillId="0" borderId="7" xfId="0" applyNumberFormat="1" applyFont="1" applyBorder="1" applyAlignment="1">
      <alignment/>
    </xf>
    <xf numFmtId="44" fontId="0" fillId="0" borderId="10" xfId="0" applyNumberFormat="1" applyBorder="1" applyAlignment="1">
      <alignment/>
    </xf>
    <xf numFmtId="44" fontId="1" fillId="0" borderId="7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44" fontId="1" fillId="0" borderId="5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4" fontId="1" fillId="0" borderId="0" xfId="0" applyNumberFormat="1" applyFont="1" applyAlignment="1">
      <alignment/>
    </xf>
    <xf numFmtId="0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7" fontId="0" fillId="0" borderId="10" xfId="0" applyNumberFormat="1" applyBorder="1" applyAlignment="1">
      <alignment/>
    </xf>
    <xf numFmtId="44" fontId="0" fillId="0" borderId="13" xfId="0" applyNumberFormat="1" applyBorder="1" applyAlignment="1">
      <alignment/>
    </xf>
    <xf numFmtId="39" fontId="1" fillId="0" borderId="12" xfId="0" applyNumberFormat="1" applyFont="1" applyBorder="1" applyAlignment="1">
      <alignment horizontal="center"/>
    </xf>
    <xf numFmtId="7" fontId="0" fillId="0" borderId="13" xfId="0" applyNumberFormat="1" applyBorder="1" applyAlignment="1">
      <alignment/>
    </xf>
    <xf numFmtId="7" fontId="1" fillId="0" borderId="7" xfId="0" applyNumberFormat="1" applyFont="1" applyBorder="1" applyAlignment="1">
      <alignment horizontal="center"/>
    </xf>
    <xf numFmtId="14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6" xfId="0" applyFont="1" applyBorder="1" applyAlignment="1">
      <alignment/>
    </xf>
    <xf numFmtId="7" fontId="0" fillId="0" borderId="5" xfId="0" applyNumberFormat="1" applyFont="1" applyBorder="1" applyAlignment="1">
      <alignment/>
    </xf>
    <xf numFmtId="172" fontId="0" fillId="0" borderId="5" xfId="0" applyNumberFormat="1" applyFont="1" applyBorder="1" applyAlignment="1">
      <alignment/>
    </xf>
    <xf numFmtId="172" fontId="1" fillId="0" borderId="8" xfId="0" applyNumberFormat="1" applyFont="1" applyBorder="1" applyAlignment="1">
      <alignment/>
    </xf>
    <xf numFmtId="7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0" fillId="3" borderId="0" xfId="0" applyNumberForma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1" fillId="0" borderId="4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9" xfId="0" applyFont="1" applyFill="1" applyBorder="1" applyAlignment="1">
      <alignment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left"/>
    </xf>
    <xf numFmtId="49" fontId="0" fillId="3" borderId="0" xfId="0" applyNumberFormat="1" applyFill="1" applyAlignment="1">
      <alignment/>
    </xf>
    <xf numFmtId="1" fontId="4" fillId="0" borderId="0" xfId="0" applyNumberFormat="1" applyFont="1" applyFill="1" applyAlignment="1">
      <alignment horizontal="left"/>
    </xf>
    <xf numFmtId="1" fontId="1" fillId="0" borderId="4" xfId="0" applyNumberFormat="1" applyFont="1" applyFill="1" applyBorder="1" applyAlignment="1">
      <alignment horizontal="center"/>
    </xf>
    <xf numFmtId="14" fontId="0" fillId="3" borderId="0" xfId="0" applyNumberFormat="1" applyFont="1" applyFill="1" applyAlignment="1">
      <alignment/>
    </xf>
    <xf numFmtId="39" fontId="0" fillId="0" borderId="13" xfId="0" applyNumberFormat="1" applyBorder="1" applyAlignment="1">
      <alignment/>
    </xf>
    <xf numFmtId="14" fontId="7" fillId="3" borderId="0" xfId="0" applyNumberFormat="1" applyFont="1" applyFill="1" applyAlignment="1">
      <alignment/>
    </xf>
    <xf numFmtId="7" fontId="7" fillId="0" borderId="0" xfId="0" applyNumberFormat="1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1" fontId="8" fillId="0" borderId="4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4" fontId="8" fillId="0" borderId="0" xfId="0" applyNumberFormat="1" applyFont="1" applyAlignment="1">
      <alignment/>
    </xf>
    <xf numFmtId="172" fontId="8" fillId="0" borderId="5" xfId="0" applyNumberFormat="1" applyFont="1" applyBorder="1" applyAlignment="1">
      <alignment horizontal="center"/>
    </xf>
    <xf numFmtId="172" fontId="7" fillId="0" borderId="5" xfId="0" applyNumberFormat="1" applyFont="1" applyBorder="1" applyAlignment="1">
      <alignment/>
    </xf>
    <xf numFmtId="172" fontId="8" fillId="0" borderId="7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172" fontId="7" fillId="0" borderId="10" xfId="0" applyNumberFormat="1" applyFont="1" applyBorder="1" applyAlignment="1">
      <alignment/>
    </xf>
    <xf numFmtId="166" fontId="8" fillId="0" borderId="6" xfId="0" applyNumberFormat="1" applyFont="1" applyBorder="1" applyAlignment="1">
      <alignment horizontal="center"/>
    </xf>
    <xf numFmtId="166" fontId="7" fillId="0" borderId="6" xfId="0" applyNumberFormat="1" applyFont="1" applyBorder="1" applyAlignment="1">
      <alignment/>
    </xf>
    <xf numFmtId="166" fontId="7" fillId="0" borderId="11" xfId="0" applyNumberFormat="1" applyFont="1" applyBorder="1" applyAlignment="1">
      <alignment/>
    </xf>
    <xf numFmtId="166" fontId="8" fillId="0" borderId="9" xfId="0" applyNumberFormat="1" applyFont="1" applyBorder="1" applyAlignment="1">
      <alignment horizontal="center"/>
    </xf>
    <xf numFmtId="172" fontId="7" fillId="0" borderId="5" xfId="0" applyNumberFormat="1" applyFont="1" applyBorder="1" applyAlignment="1">
      <alignment horizontal="center"/>
    </xf>
    <xf numFmtId="166" fontId="7" fillId="0" borderId="6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zoomScale="75" zoomScaleNormal="75" workbookViewId="0" topLeftCell="A1">
      <selection activeCell="D24" sqref="D24"/>
    </sheetView>
  </sheetViews>
  <sheetFormatPr defaultColWidth="11.5546875" defaultRowHeight="15"/>
  <cols>
    <col min="1" max="1" width="8.88671875" style="5" customWidth="1"/>
    <col min="2" max="2" width="8.88671875" style="7" customWidth="1"/>
    <col min="3" max="16384" width="8.6640625" style="0" customWidth="1"/>
  </cols>
  <sheetData>
    <row r="1" spans="1:2" s="16" customFormat="1" ht="15">
      <c r="A1" s="5"/>
      <c r="B1" s="6" t="s">
        <v>0</v>
      </c>
    </row>
    <row r="2" spans="1:2" s="16" customFormat="1" ht="15">
      <c r="A2" s="17" t="s">
        <v>1</v>
      </c>
      <c r="B2" s="18" t="s">
        <v>2</v>
      </c>
    </row>
    <row r="3" spans="1:2" ht="15">
      <c r="A3" s="5">
        <v>1995</v>
      </c>
      <c r="B3" s="7">
        <v>0</v>
      </c>
    </row>
    <row r="4" spans="1:2" ht="15">
      <c r="A4" s="5">
        <v>1996</v>
      </c>
      <c r="B4" s="7">
        <v>0</v>
      </c>
    </row>
    <row r="5" spans="1:2" ht="15">
      <c r="A5" s="5">
        <v>1997</v>
      </c>
      <c r="B5" s="7">
        <v>0</v>
      </c>
    </row>
    <row r="6" spans="1:2" ht="15">
      <c r="A6" s="5" t="s">
        <v>3</v>
      </c>
      <c r="B6" s="7">
        <v>0</v>
      </c>
    </row>
    <row r="8" spans="1:2" ht="15">
      <c r="A8" s="5">
        <v>2003</v>
      </c>
      <c r="B8" s="7">
        <f>'14747_NEWMAINT'!L19+'17736_OUTOFWAY'!D19+'13056_DININGHALL'!L19+'13057_THEATER'!L19+'13058_DALRYMPLE'!L19+'13059_AUD'!L19+'13060_LIBRARY'!L19+'13061_PRESSERWEST'!L19+'13062_SCIENCEBLDG'!L19+'13063_HOWLAND'!$L$19+'13064_SCHRADER'!L19+'13065_HALFWAY'!L19+'13066_ALLTHEWAY'!L19+'13067_RANDOMNORTH'!L19+'13068_HENDRICKS'!L19+'13069_CAMPUSCENTER'!L19+'13070_HAPPYVALLEY'!L19+'13071_RANDOMSOUTH'!L19+'13072_COT5'!L19+'13074_APPLETREE'!L19+'13075_ADMISSIONS'!L19+'13077_HAPPYVALLEY'!L19+'13078_COT1'!L19+'13079_COT2'!L19+'13080_COT3'!L19+'13081_COT4'!L19+'13082_MACHOUSE'!L19+'13083_MUMFORD'!L19+'13084_REDHOUSE'!L19+'13085_POTTERY'!L19+'13112_PERRINE'!L19+'13113_CABIN2'!L19+'13137_CABIN1'!L19+'13491_MAINT'!L19+'13645_MARLNORTH'!L19+'14766_WHITTEMORE'!L19</f>
        <v>98643.19000000003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19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U10" sqref="U10"/>
    </sheetView>
  </sheetViews>
  <sheetFormatPr defaultColWidth="11.5546875" defaultRowHeight="15"/>
  <cols>
    <col min="1" max="1" width="13.6640625" style="3" bestFit="1" customWidth="1"/>
    <col min="2" max="2" width="8.6640625" style="8" bestFit="1" customWidth="1"/>
    <col min="3" max="3" width="9.6640625" style="0" bestFit="1" customWidth="1"/>
    <col min="4" max="4" width="9.6640625" style="8" bestFit="1" customWidth="1"/>
    <col min="5" max="7" width="9.6640625" style="0" bestFit="1" customWidth="1"/>
    <col min="8" max="8" width="10.3359375" style="111" bestFit="1" customWidth="1"/>
    <col min="9" max="9" width="9.6640625" style="0" bestFit="1" customWidth="1"/>
    <col min="10" max="10" width="10.3359375" style="0" bestFit="1" customWidth="1"/>
    <col min="11" max="13" width="9.6640625" style="0" bestFit="1" customWidth="1"/>
    <col min="14" max="14" width="9.6640625" style="0" customWidth="1"/>
    <col min="15" max="16" width="9.6640625" style="0" bestFit="1" customWidth="1"/>
    <col min="17" max="17" width="8.6640625" style="0" customWidth="1"/>
    <col min="18" max="18" width="11.5546875" style="0" customWidth="1"/>
    <col min="19" max="19" width="8.6640625" style="0" customWidth="1"/>
    <col min="21" max="16384" width="8.6640625" style="0" customWidth="1"/>
  </cols>
  <sheetData>
    <row r="1" ht="15">
      <c r="A1" s="153" t="s">
        <v>29</v>
      </c>
    </row>
    <row r="2" ht="15.75" thickBot="1"/>
    <row r="3" spans="1:21" s="11" customFormat="1" ht="16.5">
      <c r="A3" s="156"/>
      <c r="B3" s="45">
        <v>1998</v>
      </c>
      <c r="C3" s="53"/>
      <c r="D3" s="26">
        <v>1999</v>
      </c>
      <c r="E3" s="28"/>
      <c r="F3" s="26">
        <v>2000</v>
      </c>
      <c r="G3" s="28"/>
      <c r="H3" s="124">
        <v>2001</v>
      </c>
      <c r="I3" s="53"/>
      <c r="J3" s="124">
        <v>2002</v>
      </c>
      <c r="K3" s="53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5" customFormat="1" ht="15">
      <c r="A4" s="4"/>
      <c r="B4" s="32" t="s">
        <v>5</v>
      </c>
      <c r="C4" s="34"/>
      <c r="D4" s="29" t="s">
        <v>5</v>
      </c>
      <c r="E4" s="31"/>
      <c r="F4" s="29" t="s">
        <v>5</v>
      </c>
      <c r="G4" s="31"/>
      <c r="H4" s="112" t="s">
        <v>5</v>
      </c>
      <c r="I4" s="34"/>
      <c r="J4" s="112" t="s">
        <v>5</v>
      </c>
      <c r="K4" s="34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5" customFormat="1" ht="15">
      <c r="A5" s="4" t="s">
        <v>22</v>
      </c>
      <c r="B5" s="32" t="s">
        <v>8</v>
      </c>
      <c r="C5" s="34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112" t="s">
        <v>8</v>
      </c>
      <c r="I5" s="34" t="s">
        <v>7</v>
      </c>
      <c r="J5" s="112" t="s">
        <v>8</v>
      </c>
      <c r="K5" s="34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32"/>
      <c r="C6" s="34"/>
      <c r="D6" s="32"/>
      <c r="E6" s="34"/>
      <c r="F6" s="32"/>
      <c r="G6" s="34"/>
      <c r="H6" s="112"/>
      <c r="I6" s="34"/>
      <c r="J6" s="112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/>
      <c r="C7" s="43"/>
      <c r="D7" s="38">
        <v>498.46</v>
      </c>
      <c r="E7" s="41">
        <v>960.9</v>
      </c>
      <c r="F7" s="38">
        <v>896.44</v>
      </c>
      <c r="G7" s="41">
        <v>907.3</v>
      </c>
      <c r="H7" s="113">
        <v>1009.8</v>
      </c>
      <c r="I7" s="83">
        <v>1015.9</v>
      </c>
      <c r="J7" s="113">
        <v>765.33</v>
      </c>
      <c r="K7" s="83">
        <v>736.6</v>
      </c>
      <c r="L7" s="38">
        <v>728.95</v>
      </c>
      <c r="M7" s="43">
        <v>776.3</v>
      </c>
      <c r="N7" s="38">
        <v>580.16</v>
      </c>
      <c r="O7" s="43">
        <v>527.9</v>
      </c>
      <c r="P7" s="38">
        <v>905.2</v>
      </c>
      <c r="Q7" s="43">
        <v>559.8</v>
      </c>
      <c r="R7" s="38">
        <v>1150.83</v>
      </c>
      <c r="S7" s="43">
        <v>548.8</v>
      </c>
      <c r="T7" s="38">
        <v>1531.84</v>
      </c>
      <c r="U7" s="43">
        <v>622.7</v>
      </c>
    </row>
    <row r="8" spans="1:21" ht="15">
      <c r="A8" s="2" t="s">
        <v>10</v>
      </c>
      <c r="B8" s="35"/>
      <c r="C8" s="43"/>
      <c r="D8" s="38">
        <v>321.3</v>
      </c>
      <c r="E8" s="41">
        <v>670</v>
      </c>
      <c r="F8" s="38">
        <v>775.26</v>
      </c>
      <c r="G8" s="41">
        <v>560.2</v>
      </c>
      <c r="H8" s="113">
        <v>688.15</v>
      </c>
      <c r="I8" s="83">
        <v>692.3</v>
      </c>
      <c r="J8" s="113">
        <v>353.16</v>
      </c>
      <c r="K8" s="83">
        <v>339.9</v>
      </c>
      <c r="L8" s="38">
        <v>736.17</v>
      </c>
      <c r="M8" s="43">
        <v>784</v>
      </c>
      <c r="N8" s="38">
        <v>626.76</v>
      </c>
      <c r="O8" s="43">
        <v>570.3</v>
      </c>
      <c r="P8" s="38">
        <v>1250.26</v>
      </c>
      <c r="Q8" s="43">
        <v>773.2</v>
      </c>
      <c r="R8" s="38">
        <v>1424.91</v>
      </c>
      <c r="S8" s="43">
        <v>679.5</v>
      </c>
      <c r="T8" s="38">
        <f>1510.69+1528.15</f>
        <v>3038.84</v>
      </c>
      <c r="U8" s="43">
        <f>614.1+621.2</f>
        <v>1235.3000000000002</v>
      </c>
    </row>
    <row r="9" spans="1:21" ht="15">
      <c r="A9" s="2" t="s">
        <v>11</v>
      </c>
      <c r="B9" s="35"/>
      <c r="C9" s="43"/>
      <c r="D9" s="38">
        <v>325.28</v>
      </c>
      <c r="E9" s="41">
        <v>634.2</v>
      </c>
      <c r="F9" s="38">
        <v>522.98</v>
      </c>
      <c r="G9" s="41">
        <v>567.1</v>
      </c>
      <c r="H9" s="114">
        <v>866.97</v>
      </c>
      <c r="I9" s="43">
        <v>872.2</v>
      </c>
      <c r="J9" s="114">
        <v>406.25</v>
      </c>
      <c r="K9" s="43">
        <v>391</v>
      </c>
      <c r="L9" s="38">
        <v>481.8</v>
      </c>
      <c r="M9" s="43">
        <v>513.1</v>
      </c>
      <c r="N9" s="38">
        <v>697.97</v>
      </c>
      <c r="O9" s="43">
        <v>635</v>
      </c>
      <c r="P9" s="38">
        <v>1125.43</v>
      </c>
      <c r="Q9" s="43">
        <v>696</v>
      </c>
      <c r="R9" s="38">
        <v>1588.9</v>
      </c>
      <c r="S9" s="43">
        <v>757.7</v>
      </c>
      <c r="T9" s="38">
        <v>1507.98</v>
      </c>
      <c r="U9" s="43">
        <v>613</v>
      </c>
    </row>
    <row r="10" spans="1:21" ht="15">
      <c r="A10" s="2" t="s">
        <v>23</v>
      </c>
      <c r="B10" s="35"/>
      <c r="C10" s="43"/>
      <c r="D10" s="38">
        <v>396.57</v>
      </c>
      <c r="E10" s="41">
        <v>664.5</v>
      </c>
      <c r="F10" s="38">
        <v>0</v>
      </c>
      <c r="G10" s="41">
        <v>0</v>
      </c>
      <c r="H10" s="114"/>
      <c r="I10" s="43"/>
      <c r="J10" s="114">
        <v>439.39</v>
      </c>
      <c r="K10" s="43">
        <v>422.9</v>
      </c>
      <c r="L10" s="38">
        <v>466.96</v>
      </c>
      <c r="M10" s="43">
        <v>497.3</v>
      </c>
      <c r="N10" s="38">
        <v>818.43</v>
      </c>
      <c r="O10" s="43">
        <v>744.7</v>
      </c>
      <c r="P10" s="38">
        <v>1047.82</v>
      </c>
      <c r="Q10" s="43">
        <v>648</v>
      </c>
      <c r="R10" s="38">
        <v>1492.64</v>
      </c>
      <c r="S10" s="43">
        <v>711.8</v>
      </c>
      <c r="T10" s="38"/>
      <c r="U10" s="43"/>
    </row>
    <row r="11" spans="1:21" ht="15">
      <c r="A11" s="2" t="s">
        <v>13</v>
      </c>
      <c r="B11" s="35"/>
      <c r="C11" s="43"/>
      <c r="D11" s="38"/>
      <c r="E11" s="41"/>
      <c r="F11" s="38">
        <v>808.49</v>
      </c>
      <c r="G11" s="41">
        <v>824.4</v>
      </c>
      <c r="H11" s="114">
        <v>493.51</v>
      </c>
      <c r="I11" s="43">
        <v>411.6</v>
      </c>
      <c r="J11" s="114">
        <v>521.06</v>
      </c>
      <c r="K11" s="43">
        <v>501.5</v>
      </c>
      <c r="L11" s="38"/>
      <c r="M11" s="43"/>
      <c r="N11" s="38"/>
      <c r="O11" s="43"/>
      <c r="P11" s="38"/>
      <c r="Q11" s="43"/>
      <c r="R11" s="38"/>
      <c r="S11" s="43"/>
      <c r="T11" s="38"/>
      <c r="U11" s="43"/>
    </row>
    <row r="12" spans="1:21" ht="15">
      <c r="A12" s="2" t="s">
        <v>14</v>
      </c>
      <c r="B12" s="35"/>
      <c r="C12" s="43"/>
      <c r="D12" s="38">
        <v>380.65</v>
      </c>
      <c r="E12" s="41">
        <v>645.6</v>
      </c>
      <c r="F12" s="38">
        <v>173.32</v>
      </c>
      <c r="G12" s="41">
        <v>180.6</v>
      </c>
      <c r="H12" s="114">
        <v>630.26</v>
      </c>
      <c r="I12" s="43">
        <v>606.6</v>
      </c>
      <c r="J12" s="114">
        <v>172.24</v>
      </c>
      <c r="K12" s="43">
        <v>167.7</v>
      </c>
      <c r="L12" s="38">
        <v>586.76</v>
      </c>
      <c r="M12" s="43">
        <v>533.9</v>
      </c>
      <c r="N12" s="38">
        <v>569.94</v>
      </c>
      <c r="O12" s="43">
        <v>518.6</v>
      </c>
      <c r="P12" s="38">
        <v>1025.66</v>
      </c>
      <c r="Q12" s="43">
        <v>634.3</v>
      </c>
      <c r="R12" s="38">
        <v>1097.36</v>
      </c>
      <c r="S12" s="43">
        <v>523.3</v>
      </c>
      <c r="T12" s="38"/>
      <c r="U12" s="43"/>
    </row>
    <row r="13" spans="1:21" ht="15">
      <c r="A13" s="2" t="s">
        <v>15</v>
      </c>
      <c r="B13" s="35"/>
      <c r="C13" s="43"/>
      <c r="D13" s="38"/>
      <c r="E13" s="41"/>
      <c r="F13" s="38">
        <v>0</v>
      </c>
      <c r="G13" s="41">
        <v>0</v>
      </c>
      <c r="H13" s="114"/>
      <c r="I13" s="43"/>
      <c r="J13" s="114">
        <v>0</v>
      </c>
      <c r="K13" s="43">
        <v>0</v>
      </c>
      <c r="L13" s="38"/>
      <c r="M13" s="43"/>
      <c r="N13" s="38"/>
      <c r="O13" s="43"/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/>
      <c r="C14" s="43"/>
      <c r="D14" s="38"/>
      <c r="E14" s="41"/>
      <c r="F14" s="38">
        <v>230.31</v>
      </c>
      <c r="G14" s="41">
        <v>231.7</v>
      </c>
      <c r="H14" s="114">
        <v>391.29</v>
      </c>
      <c r="I14" s="43">
        <v>376.6</v>
      </c>
      <c r="J14" s="114">
        <v>431.66</v>
      </c>
      <c r="K14" s="43">
        <v>459.7</v>
      </c>
      <c r="L14" s="38"/>
      <c r="M14" s="43"/>
      <c r="N14" s="38">
        <v>379.7</v>
      </c>
      <c r="O14" s="43">
        <v>345.5</v>
      </c>
      <c r="P14" s="38">
        <v>610.65</v>
      </c>
      <c r="Q14" s="43">
        <v>291.2</v>
      </c>
      <c r="R14" s="38">
        <v>1656.56</v>
      </c>
      <c r="S14" s="43">
        <v>673.4</v>
      </c>
      <c r="T14" s="38"/>
      <c r="U14" s="43"/>
    </row>
    <row r="15" spans="1:21" ht="15">
      <c r="A15" s="2" t="s">
        <v>17</v>
      </c>
      <c r="B15" s="35"/>
      <c r="C15" s="43"/>
      <c r="D15" s="38"/>
      <c r="E15" s="41"/>
      <c r="F15" s="38">
        <v>0</v>
      </c>
      <c r="G15" s="41">
        <v>0</v>
      </c>
      <c r="H15" s="114"/>
      <c r="I15" s="43"/>
      <c r="J15" s="114">
        <v>0</v>
      </c>
      <c r="K15" s="43">
        <v>0</v>
      </c>
      <c r="L15" s="38">
        <v>395.53</v>
      </c>
      <c r="M15" s="43">
        <v>359.9</v>
      </c>
      <c r="N15" s="38"/>
      <c r="O15" s="43"/>
      <c r="P15" s="38"/>
      <c r="Q15" s="43"/>
      <c r="R15" s="38"/>
      <c r="S15" s="43"/>
      <c r="T15" s="38"/>
      <c r="U15" s="43"/>
    </row>
    <row r="16" spans="1:21" ht="15">
      <c r="A16" s="2" t="s">
        <v>18</v>
      </c>
      <c r="B16" s="35">
        <v>242.04</v>
      </c>
      <c r="C16" s="43">
        <v>470.9</v>
      </c>
      <c r="D16" s="38">
        <v>379.48</v>
      </c>
      <c r="E16" s="41">
        <v>496.9</v>
      </c>
      <c r="F16" s="38">
        <v>454.16</v>
      </c>
      <c r="G16" s="41">
        <v>456.9</v>
      </c>
      <c r="H16" s="114">
        <v>487.08</v>
      </c>
      <c r="I16" s="43">
        <v>468.8</v>
      </c>
      <c r="J16" s="114">
        <v>489.59</v>
      </c>
      <c r="K16" s="43">
        <v>521.4</v>
      </c>
      <c r="L16" s="38">
        <v>535.43</v>
      </c>
      <c r="M16" s="43">
        <v>487.2</v>
      </c>
      <c r="N16" s="38"/>
      <c r="O16" s="43"/>
      <c r="P16" s="38"/>
      <c r="Q16" s="43"/>
      <c r="R16" s="38">
        <v>1275.76</v>
      </c>
      <c r="S16" s="43">
        <v>518.6</v>
      </c>
      <c r="T16" s="38"/>
      <c r="U16" s="43"/>
    </row>
    <row r="17" spans="1:21" ht="15">
      <c r="A17" s="2" t="s">
        <v>19</v>
      </c>
      <c r="B17" s="35">
        <v>389.75</v>
      </c>
      <c r="C17" s="43">
        <v>727.1</v>
      </c>
      <c r="D17" s="38">
        <v>354.87</v>
      </c>
      <c r="E17" s="41">
        <v>446.6</v>
      </c>
      <c r="F17" s="38">
        <v>611.61</v>
      </c>
      <c r="G17" s="41">
        <v>615.3</v>
      </c>
      <c r="H17" s="114">
        <v>437.32</v>
      </c>
      <c r="I17" s="43">
        <v>420.9</v>
      </c>
      <c r="J17" s="114">
        <v>364.52</v>
      </c>
      <c r="K17" s="43">
        <v>388.2</v>
      </c>
      <c r="L17" s="38"/>
      <c r="M17" s="43"/>
      <c r="N17" s="38">
        <v>970.36</v>
      </c>
      <c r="O17" s="43">
        <v>600.1</v>
      </c>
      <c r="P17" s="38">
        <v>1332.44</v>
      </c>
      <c r="Q17" s="43">
        <v>635.4</v>
      </c>
      <c r="R17" s="38">
        <v>664.69</v>
      </c>
      <c r="S17" s="43">
        <v>270.2</v>
      </c>
      <c r="T17" s="38"/>
      <c r="U17" s="43"/>
    </row>
    <row r="18" spans="1:21" ht="15.75" thickBot="1">
      <c r="A18" s="2" t="s">
        <v>20</v>
      </c>
      <c r="B18" s="99">
        <v>239.9</v>
      </c>
      <c r="C18" s="86">
        <v>492.7</v>
      </c>
      <c r="D18" s="38">
        <v>354.87</v>
      </c>
      <c r="E18" s="41">
        <v>631.3</v>
      </c>
      <c r="F18" s="38">
        <v>573.74</v>
      </c>
      <c r="G18" s="41">
        <v>577.2</v>
      </c>
      <c r="H18" s="114">
        <v>441.99</v>
      </c>
      <c r="I18" s="43">
        <v>425.4</v>
      </c>
      <c r="J18" s="114">
        <v>355.13</v>
      </c>
      <c r="K18" s="43">
        <v>378.2</v>
      </c>
      <c r="L18" s="38">
        <v>1147.79</v>
      </c>
      <c r="M18" s="43">
        <v>1044.4</v>
      </c>
      <c r="N18" s="38">
        <v>1252.53</v>
      </c>
      <c r="O18" s="43">
        <v>774.6</v>
      </c>
      <c r="P18" s="38">
        <v>1402.05</v>
      </c>
      <c r="Q18" s="43">
        <v>668.6</v>
      </c>
      <c r="R18" s="38">
        <v>735.05</v>
      </c>
      <c r="S18" s="43">
        <v>298.8</v>
      </c>
      <c r="T18" s="38"/>
      <c r="U18" s="43"/>
    </row>
    <row r="19" spans="1:21" s="1" customFormat="1" ht="15.75" thickBot="1">
      <c r="A19" s="2" t="s">
        <v>21</v>
      </c>
      <c r="B19" s="37">
        <f aca="true" t="shared" si="0" ref="B19:G19">SUM(B7:B18)</f>
        <v>871.6899999999999</v>
      </c>
      <c r="C19" s="52">
        <f t="shared" si="0"/>
        <v>1690.7</v>
      </c>
      <c r="D19" s="93">
        <f t="shared" si="0"/>
        <v>3011.4799999999996</v>
      </c>
      <c r="E19" s="94">
        <f t="shared" si="0"/>
        <v>5150.000000000001</v>
      </c>
      <c r="F19" s="93">
        <f t="shared" si="0"/>
        <v>5046.3099999999995</v>
      </c>
      <c r="G19" s="94">
        <f t="shared" si="0"/>
        <v>4920.7</v>
      </c>
      <c r="H19" s="115">
        <f aca="true" t="shared" si="1" ref="H19:M19">SUM(H7:H18)</f>
        <v>5446.37</v>
      </c>
      <c r="I19" s="96">
        <f t="shared" si="1"/>
        <v>5290.299999999998</v>
      </c>
      <c r="J19" s="115">
        <f t="shared" si="1"/>
        <v>4298.33</v>
      </c>
      <c r="K19" s="96">
        <f t="shared" si="1"/>
        <v>4307.099999999999</v>
      </c>
      <c r="L19" s="133">
        <f t="shared" si="1"/>
        <v>5079.389999999999</v>
      </c>
      <c r="M19" s="89">
        <f t="shared" si="1"/>
        <v>4996.1</v>
      </c>
      <c r="N19" s="133">
        <f aca="true" t="shared" si="2" ref="N19:S19">SUM(N7:N18)</f>
        <v>5895.849999999999</v>
      </c>
      <c r="O19" s="89">
        <f t="shared" si="2"/>
        <v>4716.7</v>
      </c>
      <c r="P19" s="133">
        <f t="shared" si="2"/>
        <v>8699.509999999998</v>
      </c>
      <c r="Q19" s="89">
        <f t="shared" si="2"/>
        <v>4906.5</v>
      </c>
      <c r="R19" s="133">
        <f t="shared" si="2"/>
        <v>11086.699999999999</v>
      </c>
      <c r="S19" s="89">
        <f t="shared" si="2"/>
        <v>4982.1</v>
      </c>
      <c r="T19" s="133">
        <f>SUM(T7:T18)</f>
        <v>6078.66</v>
      </c>
      <c r="U19" s="89">
        <f>SUM(U7:U18)</f>
        <v>2471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19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F55" sqref="F55"/>
    </sheetView>
  </sheetViews>
  <sheetFormatPr defaultColWidth="11.5546875" defaultRowHeight="15"/>
  <cols>
    <col min="1" max="1" width="13.6640625" style="3" bestFit="1" customWidth="1"/>
    <col min="2" max="2" width="8.6640625" style="8" bestFit="1" customWidth="1"/>
    <col min="3" max="3" width="9.6640625" style="0" bestFit="1" customWidth="1"/>
    <col min="4" max="4" width="9.6640625" style="8" bestFit="1" customWidth="1"/>
    <col min="5" max="7" width="9.6640625" style="0" bestFit="1" customWidth="1"/>
    <col min="8" max="8" width="9.10546875" style="0" customWidth="1"/>
    <col min="9" max="9" width="9.6640625" style="0" bestFit="1" customWidth="1"/>
    <col min="10" max="10" width="9.10546875" style="0" bestFit="1" customWidth="1"/>
    <col min="11" max="16" width="9.6640625" style="0" bestFit="1" customWidth="1"/>
    <col min="17" max="17" width="8.6640625" style="0" customWidth="1"/>
    <col min="18" max="18" width="9.6640625" style="0" customWidth="1"/>
    <col min="19" max="19" width="8.6640625" style="0" customWidth="1"/>
    <col min="20" max="20" width="9.6640625" style="0" bestFit="1" customWidth="1"/>
    <col min="21" max="16384" width="8.6640625" style="0" customWidth="1"/>
  </cols>
  <sheetData>
    <row r="1" ht="15">
      <c r="A1" s="153" t="s">
        <v>29</v>
      </c>
    </row>
    <row r="2" ht="15.75" thickBot="1"/>
    <row r="3" spans="1:21" s="11" customFormat="1" ht="16.5">
      <c r="A3" s="156"/>
      <c r="B3" s="45">
        <v>1998</v>
      </c>
      <c r="C3" s="53"/>
      <c r="D3" s="26">
        <v>1999</v>
      </c>
      <c r="E3" s="28"/>
      <c r="F3" s="26">
        <v>2000</v>
      </c>
      <c r="G3" s="28"/>
      <c r="H3" s="45">
        <v>2001</v>
      </c>
      <c r="I3" s="53"/>
      <c r="J3" s="45">
        <v>2002</v>
      </c>
      <c r="K3" s="53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5" customFormat="1" ht="15">
      <c r="A4" s="4"/>
      <c r="B4" s="32" t="s">
        <v>5</v>
      </c>
      <c r="C4" s="34"/>
      <c r="D4" s="29" t="s">
        <v>5</v>
      </c>
      <c r="E4" s="31"/>
      <c r="F4" s="29" t="s">
        <v>5</v>
      </c>
      <c r="G4" s="31"/>
      <c r="H4" s="81" t="s">
        <v>5</v>
      </c>
      <c r="I4" s="34"/>
      <c r="J4" s="81" t="s">
        <v>5</v>
      </c>
      <c r="K4" s="34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5" customFormat="1" ht="15">
      <c r="A5" s="4" t="s">
        <v>22</v>
      </c>
      <c r="B5" s="32" t="s">
        <v>8</v>
      </c>
      <c r="C5" s="34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81" t="s">
        <v>8</v>
      </c>
      <c r="I5" s="34" t="s">
        <v>7</v>
      </c>
      <c r="J5" s="81" t="s">
        <v>8</v>
      </c>
      <c r="K5" s="34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32"/>
      <c r="C6" s="34"/>
      <c r="D6" s="32"/>
      <c r="E6" s="34"/>
      <c r="F6" s="32"/>
      <c r="G6" s="34"/>
      <c r="H6" s="81"/>
      <c r="I6" s="34"/>
      <c r="J6" s="81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/>
      <c r="C7" s="43"/>
      <c r="D7" s="38">
        <v>211.49</v>
      </c>
      <c r="E7" s="41">
        <v>408.6</v>
      </c>
      <c r="F7" s="38">
        <v>127.54</v>
      </c>
      <c r="G7" s="41">
        <v>143.5</v>
      </c>
      <c r="H7" s="97">
        <v>548.59</v>
      </c>
      <c r="I7" s="83">
        <v>551.9</v>
      </c>
      <c r="J7" s="97">
        <v>548.9</v>
      </c>
      <c r="K7" s="83">
        <v>528.3</v>
      </c>
      <c r="L7" s="38">
        <v>471.19</v>
      </c>
      <c r="M7" s="43">
        <v>501.8</v>
      </c>
      <c r="N7" s="38">
        <v>279.37</v>
      </c>
      <c r="O7" s="43">
        <v>254.2</v>
      </c>
      <c r="P7" s="38">
        <v>560.94</v>
      </c>
      <c r="Q7" s="43">
        <v>346.9</v>
      </c>
      <c r="R7" s="38">
        <v>666.85</v>
      </c>
      <c r="S7" s="43">
        <v>318</v>
      </c>
      <c r="T7" s="38">
        <v>879.7</v>
      </c>
      <c r="U7" s="43">
        <v>357.6</v>
      </c>
    </row>
    <row r="8" spans="1:21" ht="15">
      <c r="A8" s="2" t="s">
        <v>10</v>
      </c>
      <c r="B8" s="35"/>
      <c r="C8" s="43"/>
      <c r="D8" s="38"/>
      <c r="E8" s="41"/>
      <c r="F8" s="38">
        <v>792.28</v>
      </c>
      <c r="G8" s="41">
        <v>572.5</v>
      </c>
      <c r="H8" s="90">
        <v>786.85</v>
      </c>
      <c r="I8" s="43">
        <v>791.6</v>
      </c>
      <c r="J8" s="90">
        <v>233.67</v>
      </c>
      <c r="K8" s="43">
        <v>224.9</v>
      </c>
      <c r="L8" s="38">
        <v>189.58</v>
      </c>
      <c r="M8" s="43">
        <v>201.9</v>
      </c>
      <c r="N8" s="38">
        <v>310.8</v>
      </c>
      <c r="O8" s="43">
        <v>282.8</v>
      </c>
      <c r="P8" s="38">
        <v>584.55</v>
      </c>
      <c r="Q8" s="43">
        <v>361.5</v>
      </c>
      <c r="R8" s="38">
        <v>741.5</v>
      </c>
      <c r="S8" s="43">
        <v>353.6</v>
      </c>
      <c r="T8" s="38">
        <f>721.52+771.7</f>
        <v>1493.22</v>
      </c>
      <c r="U8" s="43">
        <f>293.3+313.7</f>
        <v>607</v>
      </c>
    </row>
    <row r="9" spans="1:21" ht="15">
      <c r="A9" s="2" t="s">
        <v>11</v>
      </c>
      <c r="B9" s="35"/>
      <c r="C9" s="43"/>
      <c r="D9" s="38">
        <v>317.38</v>
      </c>
      <c r="E9" s="41">
        <v>618.8</v>
      </c>
      <c r="F9" s="38">
        <v>0</v>
      </c>
      <c r="G9" s="41">
        <v>0</v>
      </c>
      <c r="H9" s="90"/>
      <c r="I9" s="43"/>
      <c r="J9" s="90">
        <v>303.7</v>
      </c>
      <c r="K9" s="43">
        <v>292.3</v>
      </c>
      <c r="L9" s="38">
        <v>477.29</v>
      </c>
      <c r="M9" s="43">
        <v>508.3</v>
      </c>
      <c r="N9" s="38">
        <v>401.35</v>
      </c>
      <c r="O9" s="43">
        <v>365.2</v>
      </c>
      <c r="P9" s="38">
        <v>585.84</v>
      </c>
      <c r="Q9" s="43">
        <v>362.3</v>
      </c>
      <c r="R9" s="38">
        <v>741.08</v>
      </c>
      <c r="S9" s="43">
        <v>353.4</v>
      </c>
      <c r="T9" s="38">
        <v>880.43</v>
      </c>
      <c r="U9" s="43">
        <v>357.9</v>
      </c>
    </row>
    <row r="10" spans="1:21" ht="15">
      <c r="A10" s="2" t="s">
        <v>23</v>
      </c>
      <c r="B10" s="35"/>
      <c r="C10" s="43"/>
      <c r="D10" s="38">
        <v>231.14</v>
      </c>
      <c r="E10" s="41">
        <v>387.3</v>
      </c>
      <c r="F10" s="38">
        <v>511.94</v>
      </c>
      <c r="G10" s="41">
        <v>573.8</v>
      </c>
      <c r="H10" s="90">
        <v>607.65</v>
      </c>
      <c r="I10" s="43">
        <v>506.8</v>
      </c>
      <c r="J10" s="90">
        <v>313.05</v>
      </c>
      <c r="K10" s="43">
        <v>301.3</v>
      </c>
      <c r="L10" s="38">
        <v>407.15</v>
      </c>
      <c r="M10" s="43">
        <v>433.6</v>
      </c>
      <c r="N10" s="38">
        <v>561.27</v>
      </c>
      <c r="O10" s="43">
        <v>510.8</v>
      </c>
      <c r="P10" s="38">
        <v>722.31</v>
      </c>
      <c r="Q10" s="43">
        <v>446.7</v>
      </c>
      <c r="R10" s="38">
        <v>807.97</v>
      </c>
      <c r="S10" s="43">
        <v>385.3</v>
      </c>
      <c r="T10" s="38"/>
      <c r="U10" s="43"/>
    </row>
    <row r="11" spans="1:21" ht="15">
      <c r="A11" s="2" t="s">
        <v>13</v>
      </c>
      <c r="B11" s="35"/>
      <c r="C11" s="43"/>
      <c r="D11" s="38"/>
      <c r="E11" s="41"/>
      <c r="F11" s="38">
        <v>0</v>
      </c>
      <c r="G11" s="41">
        <v>0</v>
      </c>
      <c r="H11" s="90">
        <v>348.07</v>
      </c>
      <c r="I11" s="43">
        <v>290.3</v>
      </c>
      <c r="J11" s="90">
        <v>381</v>
      </c>
      <c r="K11" s="43">
        <v>366.7</v>
      </c>
      <c r="L11" s="38"/>
      <c r="M11" s="43"/>
      <c r="N11" s="38"/>
      <c r="O11" s="43"/>
      <c r="P11" s="38"/>
      <c r="Q11" s="43"/>
      <c r="R11" s="38"/>
      <c r="S11" s="43"/>
      <c r="T11" s="38"/>
      <c r="U11" s="43"/>
    </row>
    <row r="12" spans="1:21" ht="15">
      <c r="A12" s="2" t="s">
        <v>14</v>
      </c>
      <c r="B12" s="35"/>
      <c r="C12" s="43"/>
      <c r="D12" s="38">
        <v>244.39</v>
      </c>
      <c r="E12" s="41">
        <v>414.5</v>
      </c>
      <c r="F12" s="38">
        <v>635.61</v>
      </c>
      <c r="G12" s="41">
        <v>662.3</v>
      </c>
      <c r="H12" s="90">
        <v>289.67</v>
      </c>
      <c r="I12" s="43">
        <v>278.8</v>
      </c>
      <c r="J12" s="90">
        <v>127.9</v>
      </c>
      <c r="K12" s="43">
        <v>123.1</v>
      </c>
      <c r="L12" s="38">
        <v>430.37</v>
      </c>
      <c r="M12" s="43">
        <v>391.6</v>
      </c>
      <c r="N12" s="38">
        <v>414.43</v>
      </c>
      <c r="O12" s="43">
        <v>377.1</v>
      </c>
      <c r="P12" s="38">
        <v>538.79</v>
      </c>
      <c r="Q12" s="43">
        <v>333.2</v>
      </c>
      <c r="R12" s="38">
        <v>462.6</v>
      </c>
      <c r="S12" s="43">
        <v>220.6</v>
      </c>
      <c r="T12" s="38"/>
      <c r="U12" s="43"/>
    </row>
    <row r="13" spans="1:21" ht="15">
      <c r="A13" s="2" t="s">
        <v>15</v>
      </c>
      <c r="B13" s="35"/>
      <c r="C13" s="43"/>
      <c r="D13" s="38"/>
      <c r="E13" s="41"/>
      <c r="F13" s="38">
        <v>0</v>
      </c>
      <c r="G13" s="41">
        <v>0</v>
      </c>
      <c r="H13" s="90"/>
      <c r="I13" s="43"/>
      <c r="J13" s="90">
        <v>0</v>
      </c>
      <c r="K13" s="43">
        <v>0</v>
      </c>
      <c r="L13" s="38"/>
      <c r="M13" s="43"/>
      <c r="N13" s="38"/>
      <c r="O13" s="43"/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/>
      <c r="C14" s="43"/>
      <c r="D14" s="38">
        <v>78.21</v>
      </c>
      <c r="E14" s="41">
        <v>106.6</v>
      </c>
      <c r="F14" s="38">
        <v>87.17</v>
      </c>
      <c r="G14" s="41">
        <v>87.7</v>
      </c>
      <c r="H14" s="90">
        <v>113.98</v>
      </c>
      <c r="I14" s="43">
        <v>109.7</v>
      </c>
      <c r="J14" s="90">
        <v>84.89</v>
      </c>
      <c r="K14" s="43">
        <v>90.4</v>
      </c>
      <c r="L14" s="38"/>
      <c r="M14" s="43"/>
      <c r="N14" s="38">
        <v>121.66</v>
      </c>
      <c r="O14" s="43">
        <v>110.7</v>
      </c>
      <c r="P14" s="38">
        <v>171.74</v>
      </c>
      <c r="Q14" s="43">
        <v>81.9</v>
      </c>
      <c r="R14" s="38">
        <v>1019.42</v>
      </c>
      <c r="S14" s="43">
        <v>414.4</v>
      </c>
      <c r="T14" s="38"/>
      <c r="U14" s="43"/>
    </row>
    <row r="15" spans="1:21" ht="15">
      <c r="A15" s="2" t="s">
        <v>17</v>
      </c>
      <c r="B15" s="35"/>
      <c r="C15" s="43"/>
      <c r="D15" s="38"/>
      <c r="E15" s="41"/>
      <c r="F15" s="38">
        <v>0</v>
      </c>
      <c r="G15" s="41">
        <v>0</v>
      </c>
      <c r="H15" s="90"/>
      <c r="I15" s="43"/>
      <c r="J15" s="90">
        <v>0</v>
      </c>
      <c r="K15" s="43">
        <v>0</v>
      </c>
      <c r="L15" s="38">
        <v>103.86</v>
      </c>
      <c r="M15" s="43">
        <v>94.5</v>
      </c>
      <c r="N15" s="38"/>
      <c r="O15" s="43"/>
      <c r="P15" s="38"/>
      <c r="Q15" s="43"/>
      <c r="R15" s="38"/>
      <c r="S15" s="43"/>
      <c r="T15" s="38"/>
      <c r="U15" s="43"/>
    </row>
    <row r="16" spans="1:21" ht="15">
      <c r="A16" s="2" t="s">
        <v>18</v>
      </c>
      <c r="B16" s="35"/>
      <c r="C16" s="43"/>
      <c r="D16" s="38"/>
      <c r="E16" s="41"/>
      <c r="F16" s="38">
        <v>313.81</v>
      </c>
      <c r="G16" s="41">
        <v>315.7</v>
      </c>
      <c r="H16" s="90">
        <v>289.36</v>
      </c>
      <c r="I16" s="43">
        <v>278.5</v>
      </c>
      <c r="J16" s="90">
        <v>294.75</v>
      </c>
      <c r="K16" s="43">
        <v>313.9</v>
      </c>
      <c r="L16" s="38">
        <v>374.32</v>
      </c>
      <c r="M16" s="43">
        <v>340.6</v>
      </c>
      <c r="N16" s="38"/>
      <c r="O16" s="43"/>
      <c r="P16" s="38"/>
      <c r="Q16" s="43"/>
      <c r="R16" s="38"/>
      <c r="S16" s="43"/>
      <c r="T16" s="38"/>
      <c r="U16" s="43"/>
    </row>
    <row r="17" spans="1:21" ht="15">
      <c r="A17" s="2" t="s">
        <v>19</v>
      </c>
      <c r="B17" s="35">
        <v>390.26</v>
      </c>
      <c r="C17" s="43">
        <v>714.6</v>
      </c>
      <c r="D17" s="38">
        <v>548.91</v>
      </c>
      <c r="E17" s="41">
        <v>699.2</v>
      </c>
      <c r="F17" s="38">
        <v>462.71</v>
      </c>
      <c r="G17" s="41">
        <v>465.5</v>
      </c>
      <c r="H17" s="90">
        <v>318.56</v>
      </c>
      <c r="I17" s="43">
        <v>306.6</v>
      </c>
      <c r="J17" s="90">
        <v>0</v>
      </c>
      <c r="K17" s="43">
        <v>0</v>
      </c>
      <c r="L17" s="38"/>
      <c r="M17" s="43"/>
      <c r="N17" s="38">
        <v>605.73</v>
      </c>
      <c r="O17" s="43">
        <v>374.6</v>
      </c>
      <c r="P17" s="38">
        <v>816.15</v>
      </c>
      <c r="Q17" s="43">
        <v>389.2</v>
      </c>
      <c r="R17" s="38">
        <v>1094.95</v>
      </c>
      <c r="S17" s="43">
        <v>445.1</v>
      </c>
      <c r="T17" s="38"/>
      <c r="U17" s="43"/>
    </row>
    <row r="18" spans="1:21" ht="15.75" thickBot="1">
      <c r="A18" s="2" t="s">
        <v>20</v>
      </c>
      <c r="B18" s="99">
        <v>119.68</v>
      </c>
      <c r="C18" s="86">
        <v>245.8</v>
      </c>
      <c r="D18" s="38">
        <v>379.41</v>
      </c>
      <c r="E18" s="41">
        <v>450.5</v>
      </c>
      <c r="F18" s="38">
        <v>0</v>
      </c>
      <c r="G18" s="41">
        <v>0</v>
      </c>
      <c r="H18" s="90">
        <v>310.87</v>
      </c>
      <c r="I18" s="43">
        <v>299.2</v>
      </c>
      <c r="J18" s="90">
        <v>528</v>
      </c>
      <c r="K18" s="43">
        <v>562.3</v>
      </c>
      <c r="L18" s="38">
        <v>673.58</v>
      </c>
      <c r="M18" s="43">
        <v>612.9</v>
      </c>
      <c r="N18" s="38">
        <v>826.45</v>
      </c>
      <c r="O18" s="43">
        <v>511.1</v>
      </c>
      <c r="P18" s="38">
        <v>851.8</v>
      </c>
      <c r="Q18" s="43">
        <v>406.2</v>
      </c>
      <c r="R18" s="38">
        <v>402.95</v>
      </c>
      <c r="S18" s="43">
        <v>163.8</v>
      </c>
      <c r="T18" s="38"/>
      <c r="U18" s="43"/>
    </row>
    <row r="19" spans="1:21" s="1" customFormat="1" ht="15.75" thickBot="1">
      <c r="A19" s="2" t="s">
        <v>21</v>
      </c>
      <c r="B19" s="37">
        <f aca="true" t="shared" si="0" ref="B19:G19">SUM(B7:B18)</f>
        <v>509.94</v>
      </c>
      <c r="C19" s="52">
        <f t="shared" si="0"/>
        <v>960.4000000000001</v>
      </c>
      <c r="D19" s="93">
        <f t="shared" si="0"/>
        <v>2010.93</v>
      </c>
      <c r="E19" s="94">
        <f t="shared" si="0"/>
        <v>3085.5</v>
      </c>
      <c r="F19" s="93">
        <f t="shared" si="0"/>
        <v>2931.06</v>
      </c>
      <c r="G19" s="94">
        <f t="shared" si="0"/>
        <v>2821</v>
      </c>
      <c r="H19" s="98">
        <f aca="true" t="shared" si="1" ref="H19:M19">SUM(H7:H18)</f>
        <v>3613.6000000000004</v>
      </c>
      <c r="I19" s="52">
        <f t="shared" si="1"/>
        <v>3413.3999999999996</v>
      </c>
      <c r="J19" s="98">
        <f t="shared" si="1"/>
        <v>2815.86</v>
      </c>
      <c r="K19" s="52">
        <f t="shared" si="1"/>
        <v>2803.2</v>
      </c>
      <c r="L19" s="133">
        <f t="shared" si="1"/>
        <v>3127.34</v>
      </c>
      <c r="M19" s="89">
        <f t="shared" si="1"/>
        <v>3085.2</v>
      </c>
      <c r="N19" s="133">
        <f aca="true" t="shared" si="2" ref="N19:S19">SUM(N7:N18)</f>
        <v>3521.0600000000004</v>
      </c>
      <c r="O19" s="89">
        <f t="shared" si="2"/>
        <v>2786.5</v>
      </c>
      <c r="P19" s="133">
        <f t="shared" si="2"/>
        <v>4832.12</v>
      </c>
      <c r="Q19" s="89">
        <f t="shared" si="2"/>
        <v>2727.9</v>
      </c>
      <c r="R19" s="133">
        <f t="shared" si="2"/>
        <v>5937.319999999999</v>
      </c>
      <c r="S19" s="89">
        <f t="shared" si="2"/>
        <v>2654.2</v>
      </c>
      <c r="T19" s="133">
        <f>SUM(T7:T18)</f>
        <v>3253.35</v>
      </c>
      <c r="U19" s="89">
        <f>SUM(U7:U18)</f>
        <v>1322.5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19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Q35" sqref="Q35"/>
    </sheetView>
  </sheetViews>
  <sheetFormatPr defaultColWidth="11.5546875" defaultRowHeight="15"/>
  <cols>
    <col min="1" max="1" width="16.5546875" style="3" bestFit="1" customWidth="1"/>
    <col min="2" max="2" width="8.6640625" style="8" bestFit="1" customWidth="1"/>
    <col min="3" max="3" width="9.6640625" style="0" bestFit="1" customWidth="1"/>
    <col min="4" max="4" width="9.6640625" style="8" bestFit="1" customWidth="1"/>
    <col min="5" max="7" width="9.6640625" style="0" bestFit="1" customWidth="1"/>
    <col min="8" max="8" width="8.6640625" style="0" bestFit="1" customWidth="1"/>
    <col min="9" max="9" width="9.6640625" style="0" bestFit="1" customWidth="1"/>
    <col min="10" max="10" width="8.6640625" style="0" bestFit="1" customWidth="1"/>
    <col min="11" max="11" width="9.6640625" style="0" bestFit="1" customWidth="1"/>
    <col min="12" max="12" width="9.6640625" style="0" customWidth="1"/>
    <col min="13" max="15" width="9.6640625" style="0" bestFit="1" customWidth="1"/>
    <col min="16" max="16" width="9.6640625" style="0" customWidth="1"/>
    <col min="17" max="17" width="8.6640625" style="0" customWidth="1"/>
    <col min="18" max="18" width="9.6640625" style="0" customWidth="1"/>
    <col min="19" max="19" width="8.6640625" style="0" customWidth="1"/>
    <col min="20" max="20" width="9.6640625" style="0" bestFit="1" customWidth="1"/>
    <col min="21" max="16384" width="8.6640625" style="0" customWidth="1"/>
  </cols>
  <sheetData>
    <row r="1" ht="16.5">
      <c r="A1" s="157" t="s">
        <v>32</v>
      </c>
    </row>
    <row r="2" ht="15.75" thickBot="1"/>
    <row r="3" spans="2:21" s="5" customFormat="1" ht="15">
      <c r="B3" s="45">
        <v>1998</v>
      </c>
      <c r="C3" s="46"/>
      <c r="D3" s="26">
        <v>1999</v>
      </c>
      <c r="E3" s="28"/>
      <c r="F3" s="26">
        <v>2000</v>
      </c>
      <c r="G3" s="28"/>
      <c r="H3" s="88">
        <v>2001</v>
      </c>
      <c r="I3" s="46"/>
      <c r="J3" s="88">
        <v>2002</v>
      </c>
      <c r="K3" s="46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5" customFormat="1" ht="15">
      <c r="A4" s="127"/>
      <c r="B4" s="32" t="s">
        <v>5</v>
      </c>
      <c r="C4" s="34"/>
      <c r="D4" s="29" t="s">
        <v>5</v>
      </c>
      <c r="E4" s="31"/>
      <c r="F4" s="29" t="s">
        <v>5</v>
      </c>
      <c r="G4" s="31"/>
      <c r="H4" s="81" t="s">
        <v>5</v>
      </c>
      <c r="I4" s="34"/>
      <c r="J4" s="81" t="s">
        <v>5</v>
      </c>
      <c r="K4" s="34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5" customFormat="1" ht="15">
      <c r="A5" s="4" t="s">
        <v>22</v>
      </c>
      <c r="B5" s="32" t="s">
        <v>8</v>
      </c>
      <c r="C5" s="34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81" t="s">
        <v>8</v>
      </c>
      <c r="I5" s="34" t="s">
        <v>7</v>
      </c>
      <c r="J5" s="81" t="s">
        <v>8</v>
      </c>
      <c r="K5" s="34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32"/>
      <c r="C6" s="34"/>
      <c r="D6" s="32"/>
      <c r="E6" s="34"/>
      <c r="F6" s="32"/>
      <c r="G6" s="34"/>
      <c r="H6" s="81"/>
      <c r="I6" s="34"/>
      <c r="J6" s="81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/>
      <c r="C7" s="43"/>
      <c r="D7" s="38">
        <v>156.4</v>
      </c>
      <c r="E7" s="41">
        <v>301.2</v>
      </c>
      <c r="F7" s="38">
        <v>312.38</v>
      </c>
      <c r="G7" s="41">
        <v>308.8</v>
      </c>
      <c r="H7" s="97">
        <v>422.95</v>
      </c>
      <c r="I7" s="43">
        <v>425.5</v>
      </c>
      <c r="J7" s="97">
        <v>385.47</v>
      </c>
      <c r="K7" s="43">
        <v>371</v>
      </c>
      <c r="L7" s="38">
        <v>306.86</v>
      </c>
      <c r="M7" s="43">
        <v>326.8</v>
      </c>
      <c r="N7" s="38">
        <v>238.48</v>
      </c>
      <c r="O7" s="43">
        <v>217</v>
      </c>
      <c r="P7" s="38">
        <v>420.26</v>
      </c>
      <c r="Q7" s="43">
        <v>259.9</v>
      </c>
      <c r="R7" s="38">
        <v>546.9</v>
      </c>
      <c r="S7" s="43">
        <v>260.8</v>
      </c>
      <c r="T7" s="38"/>
      <c r="U7" s="43"/>
    </row>
    <row r="8" spans="1:21" ht="15">
      <c r="A8" s="2" t="s">
        <v>10</v>
      </c>
      <c r="B8" s="35"/>
      <c r="C8" s="43"/>
      <c r="D8" s="38"/>
      <c r="E8" s="41"/>
      <c r="F8" s="38">
        <v>0</v>
      </c>
      <c r="G8" s="41">
        <v>0</v>
      </c>
      <c r="H8" s="90">
        <v>196.51</v>
      </c>
      <c r="I8" s="43">
        <v>197.7</v>
      </c>
      <c r="J8" s="90">
        <v>145.15</v>
      </c>
      <c r="K8" s="43">
        <v>139.7</v>
      </c>
      <c r="L8" s="38">
        <v>329.21</v>
      </c>
      <c r="M8" s="43">
        <v>350.6</v>
      </c>
      <c r="N8" s="38">
        <v>343.99</v>
      </c>
      <c r="O8" s="43">
        <v>313</v>
      </c>
      <c r="P8" s="38">
        <v>436.59</v>
      </c>
      <c r="Q8" s="43">
        <v>270</v>
      </c>
      <c r="R8" s="38">
        <v>578.56</v>
      </c>
      <c r="S8" s="43">
        <v>245.9</v>
      </c>
      <c r="T8" s="38"/>
      <c r="U8" s="43"/>
    </row>
    <row r="9" spans="1:21" ht="15">
      <c r="A9" s="2" t="s">
        <v>11</v>
      </c>
      <c r="B9" s="35"/>
      <c r="C9" s="43"/>
      <c r="D9" s="38">
        <v>274.08</v>
      </c>
      <c r="E9" s="41">
        <v>481.6</v>
      </c>
      <c r="F9" s="38">
        <v>532.81</v>
      </c>
      <c r="G9" s="41">
        <v>531</v>
      </c>
      <c r="H9" s="90">
        <v>526.02</v>
      </c>
      <c r="I9" s="43">
        <v>529.2</v>
      </c>
      <c r="J9" s="90">
        <v>152.53</v>
      </c>
      <c r="K9" s="43">
        <v>146.8</v>
      </c>
      <c r="L9" s="38">
        <v>184.61</v>
      </c>
      <c r="M9" s="43">
        <v>196.6</v>
      </c>
      <c r="N9" s="38"/>
      <c r="O9" s="43"/>
      <c r="P9" s="38">
        <v>389.7</v>
      </c>
      <c r="Q9" s="43">
        <v>241</v>
      </c>
      <c r="R9" s="38">
        <v>684.46</v>
      </c>
      <c r="S9" s="43">
        <v>326.4</v>
      </c>
      <c r="T9" s="38"/>
      <c r="U9" s="43"/>
    </row>
    <row r="10" spans="1:21" ht="15">
      <c r="A10" s="2" t="s">
        <v>23</v>
      </c>
      <c r="B10" s="35"/>
      <c r="C10" s="43"/>
      <c r="D10" s="38"/>
      <c r="E10" s="41"/>
      <c r="F10" s="38">
        <v>0</v>
      </c>
      <c r="G10" s="41">
        <v>0</v>
      </c>
      <c r="H10" s="90"/>
      <c r="I10" s="43"/>
      <c r="J10" s="90">
        <v>215.07</v>
      </c>
      <c r="K10" s="43">
        <v>207</v>
      </c>
      <c r="L10" s="38">
        <v>198.13</v>
      </c>
      <c r="M10" s="43">
        <v>211</v>
      </c>
      <c r="N10" s="38">
        <v>408.5</v>
      </c>
      <c r="O10" s="43">
        <v>371.7</v>
      </c>
      <c r="P10" s="38">
        <v>485.1</v>
      </c>
      <c r="Q10" s="43">
        <v>300</v>
      </c>
      <c r="R10" s="38">
        <v>611.07</v>
      </c>
      <c r="S10" s="43">
        <v>291.4</v>
      </c>
      <c r="T10" s="38"/>
      <c r="U10" s="43"/>
    </row>
    <row r="11" spans="1:21" ht="15">
      <c r="A11" s="2" t="s">
        <v>13</v>
      </c>
      <c r="B11" s="35"/>
      <c r="C11" s="43"/>
      <c r="D11" s="38"/>
      <c r="E11" s="41"/>
      <c r="F11" s="38">
        <v>366.33</v>
      </c>
      <c r="G11" s="41">
        <v>387.9</v>
      </c>
      <c r="H11" s="90">
        <v>322.65</v>
      </c>
      <c r="I11" s="43">
        <v>269.1</v>
      </c>
      <c r="J11" s="90">
        <v>195.44</v>
      </c>
      <c r="K11" s="43">
        <v>188.1</v>
      </c>
      <c r="L11" s="38"/>
      <c r="M11" s="43"/>
      <c r="N11" s="38"/>
      <c r="O11" s="43"/>
      <c r="P11" s="38"/>
      <c r="Q11" s="43"/>
      <c r="R11" s="38"/>
      <c r="S11" s="43"/>
      <c r="T11" s="38"/>
      <c r="U11" s="43"/>
    </row>
    <row r="12" spans="1:21" ht="15">
      <c r="A12" s="2" t="s">
        <v>14</v>
      </c>
      <c r="B12" s="35"/>
      <c r="C12" s="43"/>
      <c r="D12" s="38">
        <v>125.29</v>
      </c>
      <c r="E12" s="41">
        <v>212.5</v>
      </c>
      <c r="F12" s="38">
        <v>36.56</v>
      </c>
      <c r="G12" s="41">
        <v>38.1</v>
      </c>
      <c r="H12" s="90">
        <v>104.84</v>
      </c>
      <c r="I12" s="43">
        <v>100.9</v>
      </c>
      <c r="J12" s="90">
        <v>80.31</v>
      </c>
      <c r="K12" s="43">
        <v>77.3</v>
      </c>
      <c r="L12" s="38">
        <v>249.69</v>
      </c>
      <c r="M12" s="43">
        <v>227.2</v>
      </c>
      <c r="N12" s="38">
        <v>332.78</v>
      </c>
      <c r="O12" s="43">
        <v>302.8</v>
      </c>
      <c r="P12" s="38">
        <v>332.46</v>
      </c>
      <c r="Q12" s="43">
        <v>205.6</v>
      </c>
      <c r="R12" s="38"/>
      <c r="S12" s="43"/>
      <c r="T12" s="38"/>
      <c r="U12" s="43"/>
    </row>
    <row r="13" spans="1:21" ht="15">
      <c r="A13" s="2" t="s">
        <v>15</v>
      </c>
      <c r="B13" s="35"/>
      <c r="C13" s="43"/>
      <c r="D13" s="38"/>
      <c r="E13" s="41"/>
      <c r="F13" s="38">
        <v>0</v>
      </c>
      <c r="G13" s="41">
        <v>0</v>
      </c>
      <c r="H13" s="90"/>
      <c r="I13" s="43"/>
      <c r="J13" s="90">
        <v>0</v>
      </c>
      <c r="K13" s="43">
        <v>0</v>
      </c>
      <c r="L13" s="38"/>
      <c r="M13" s="43"/>
      <c r="N13" s="38"/>
      <c r="O13" s="43"/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/>
      <c r="C14" s="43"/>
      <c r="D14" s="38">
        <v>62.44</v>
      </c>
      <c r="E14" s="41">
        <v>85.1</v>
      </c>
      <c r="F14" s="38">
        <v>119.18</v>
      </c>
      <c r="G14" s="41">
        <v>119.9</v>
      </c>
      <c r="H14" s="90">
        <v>107.22</v>
      </c>
      <c r="I14" s="43">
        <v>103.2</v>
      </c>
      <c r="J14" s="90">
        <v>184.42</v>
      </c>
      <c r="K14" s="43">
        <v>196.4</v>
      </c>
      <c r="L14" s="38"/>
      <c r="M14" s="43"/>
      <c r="N14" s="38">
        <v>150.56</v>
      </c>
      <c r="O14" s="43">
        <v>137</v>
      </c>
      <c r="P14" s="38">
        <v>284.14</v>
      </c>
      <c r="Q14" s="43">
        <v>135.5</v>
      </c>
      <c r="R14" s="38"/>
      <c r="S14" s="43"/>
      <c r="T14" s="38"/>
      <c r="U14" s="43"/>
    </row>
    <row r="15" spans="1:21" ht="15">
      <c r="A15" s="2" t="s">
        <v>17</v>
      </c>
      <c r="B15" s="35"/>
      <c r="C15" s="43"/>
      <c r="D15" s="38"/>
      <c r="E15" s="41"/>
      <c r="F15" s="38">
        <v>0</v>
      </c>
      <c r="G15" s="41">
        <v>0</v>
      </c>
      <c r="H15" s="90"/>
      <c r="I15" s="43"/>
      <c r="J15" s="90">
        <v>0</v>
      </c>
      <c r="K15" s="43">
        <v>0</v>
      </c>
      <c r="L15" s="38">
        <v>149.24</v>
      </c>
      <c r="M15" s="43">
        <v>135.8</v>
      </c>
      <c r="N15" s="38"/>
      <c r="O15" s="43"/>
      <c r="P15" s="38"/>
      <c r="Q15" s="43"/>
      <c r="R15" s="38"/>
      <c r="S15" s="43"/>
      <c r="T15" s="38"/>
      <c r="U15" s="43"/>
    </row>
    <row r="16" spans="1:21" ht="15">
      <c r="A16" s="2" t="s">
        <v>18</v>
      </c>
      <c r="B16" s="35"/>
      <c r="C16" s="43"/>
      <c r="D16" s="38"/>
      <c r="E16" s="41"/>
      <c r="F16" s="38">
        <v>341.54</v>
      </c>
      <c r="G16" s="41">
        <v>343.6</v>
      </c>
      <c r="H16" s="90">
        <v>152.42</v>
      </c>
      <c r="I16" s="43">
        <v>146.7</v>
      </c>
      <c r="J16" s="90">
        <v>350.53</v>
      </c>
      <c r="K16" s="43">
        <v>373.3</v>
      </c>
      <c r="L16" s="38">
        <v>282.55</v>
      </c>
      <c r="M16" s="43">
        <v>257.1</v>
      </c>
      <c r="N16" s="38"/>
      <c r="O16" s="43"/>
      <c r="P16" s="38"/>
      <c r="Q16" s="43"/>
      <c r="R16" s="38"/>
      <c r="S16" s="43"/>
      <c r="T16" s="38"/>
      <c r="U16" s="43"/>
    </row>
    <row r="17" spans="1:21" ht="15">
      <c r="A17" s="2" t="s">
        <v>19</v>
      </c>
      <c r="B17" s="35">
        <v>465.46</v>
      </c>
      <c r="C17" s="43">
        <v>241.6</v>
      </c>
      <c r="D17" s="38">
        <v>297.42</v>
      </c>
      <c r="E17" s="41">
        <v>374.3</v>
      </c>
      <c r="F17" s="38">
        <v>290.55</v>
      </c>
      <c r="G17" s="41">
        <v>292.3</v>
      </c>
      <c r="H17" s="90">
        <v>147.54</v>
      </c>
      <c r="I17" s="43">
        <v>142</v>
      </c>
      <c r="J17" s="90">
        <v>233.62</v>
      </c>
      <c r="K17" s="43">
        <v>248.8</v>
      </c>
      <c r="L17" s="38"/>
      <c r="M17" s="43"/>
      <c r="N17" s="38">
        <v>486.72</v>
      </c>
      <c r="O17" s="43">
        <v>301</v>
      </c>
      <c r="P17" s="38">
        <v>606.66</v>
      </c>
      <c r="Q17" s="43">
        <v>289.3</v>
      </c>
      <c r="R17" s="38"/>
      <c r="S17" s="43"/>
      <c r="T17" s="38"/>
      <c r="U17" s="43"/>
    </row>
    <row r="18" spans="1:21" ht="15.75" thickBot="1">
      <c r="A18" s="2" t="s">
        <v>20</v>
      </c>
      <c r="B18" s="99">
        <v>63.2</v>
      </c>
      <c r="C18" s="86">
        <v>129.8</v>
      </c>
      <c r="D18" s="38">
        <v>214.93</v>
      </c>
      <c r="E18" s="41">
        <v>255.2</v>
      </c>
      <c r="F18" s="38">
        <v>286.57</v>
      </c>
      <c r="G18" s="41">
        <v>288.3</v>
      </c>
      <c r="H18" s="90">
        <v>145.88</v>
      </c>
      <c r="I18" s="43">
        <v>140.4</v>
      </c>
      <c r="J18" s="90">
        <v>224.98</v>
      </c>
      <c r="K18" s="43">
        <v>239.6</v>
      </c>
      <c r="L18" s="38">
        <v>558.73</v>
      </c>
      <c r="M18" s="43">
        <v>508.4</v>
      </c>
      <c r="N18" s="38">
        <v>583.74</v>
      </c>
      <c r="O18" s="43">
        <v>361</v>
      </c>
      <c r="P18" s="38">
        <v>637.49</v>
      </c>
      <c r="Q18" s="43">
        <v>304</v>
      </c>
      <c r="R18" s="38"/>
      <c r="S18" s="43"/>
      <c r="T18" s="38"/>
      <c r="U18" s="43"/>
    </row>
    <row r="19" spans="1:21" s="1" customFormat="1" ht="15.75" thickBot="1">
      <c r="A19" s="2" t="s">
        <v>21</v>
      </c>
      <c r="B19" s="37">
        <f aca="true" t="shared" si="0" ref="B19:G19">SUM(B7:B18)</f>
        <v>528.66</v>
      </c>
      <c r="C19" s="52">
        <f t="shared" si="0"/>
        <v>371.4</v>
      </c>
      <c r="D19" s="93">
        <f t="shared" si="0"/>
        <v>1130.5600000000002</v>
      </c>
      <c r="E19" s="94">
        <f t="shared" si="0"/>
        <v>1709.8999999999999</v>
      </c>
      <c r="F19" s="93">
        <f t="shared" si="0"/>
        <v>2285.92</v>
      </c>
      <c r="G19" s="94">
        <f t="shared" si="0"/>
        <v>2309.8999999999996</v>
      </c>
      <c r="H19" s="100">
        <f aca="true" t="shared" si="1" ref="H19:M19">SUM(H7:H18)</f>
        <v>2126.03</v>
      </c>
      <c r="I19" s="96">
        <f t="shared" si="1"/>
        <v>2054.7000000000003</v>
      </c>
      <c r="J19" s="100">
        <f t="shared" si="1"/>
        <v>2167.52</v>
      </c>
      <c r="K19" s="96">
        <f t="shared" si="1"/>
        <v>2188</v>
      </c>
      <c r="L19" s="133">
        <f t="shared" si="1"/>
        <v>2259.02</v>
      </c>
      <c r="M19" s="89">
        <f t="shared" si="1"/>
        <v>2213.5</v>
      </c>
      <c r="N19" s="133">
        <f aca="true" t="shared" si="2" ref="N19:S19">SUM(N7:N18)</f>
        <v>2544.77</v>
      </c>
      <c r="O19" s="89">
        <f t="shared" si="2"/>
        <v>2003.5</v>
      </c>
      <c r="P19" s="133">
        <f t="shared" si="2"/>
        <v>3592.3999999999996</v>
      </c>
      <c r="Q19" s="89">
        <f t="shared" si="2"/>
        <v>2005.3</v>
      </c>
      <c r="R19" s="133">
        <f t="shared" si="2"/>
        <v>2420.9900000000002</v>
      </c>
      <c r="S19" s="89">
        <f t="shared" si="2"/>
        <v>1124.5</v>
      </c>
      <c r="T19" s="133">
        <f>SUM(T7:T18)</f>
        <v>0</v>
      </c>
      <c r="U19" s="89">
        <f>SUM(U7:U18)</f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19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Z35" sqref="Z35"/>
    </sheetView>
  </sheetViews>
  <sheetFormatPr defaultColWidth="11.5546875" defaultRowHeight="15"/>
  <cols>
    <col min="1" max="1" width="13.6640625" style="3" bestFit="1" customWidth="1"/>
    <col min="2" max="2" width="8.6640625" style="8" bestFit="1" customWidth="1"/>
    <col min="3" max="3" width="9.6640625" style="0" bestFit="1" customWidth="1"/>
    <col min="4" max="4" width="9.6640625" style="8" customWidth="1"/>
    <col min="5" max="7" width="9.6640625" style="0" bestFit="1" customWidth="1"/>
    <col min="8" max="8" width="9.10546875" style="0" bestFit="1" customWidth="1"/>
    <col min="9" max="9" width="9.6640625" style="0" bestFit="1" customWidth="1"/>
    <col min="10" max="10" width="9.10546875" style="0" bestFit="1" customWidth="1"/>
    <col min="11" max="13" width="9.6640625" style="0" bestFit="1" customWidth="1"/>
    <col min="14" max="14" width="9.6640625" style="0" customWidth="1"/>
    <col min="15" max="16" width="9.6640625" style="0" bestFit="1" customWidth="1"/>
    <col min="17" max="17" width="8.6640625" style="0" customWidth="1"/>
    <col min="18" max="18" width="11.3359375" style="0" customWidth="1"/>
    <col min="19" max="19" width="8.6640625" style="0" customWidth="1"/>
    <col min="21" max="16384" width="8.6640625" style="0" customWidth="1"/>
  </cols>
  <sheetData>
    <row r="1" ht="15">
      <c r="A1" s="153" t="s">
        <v>29</v>
      </c>
    </row>
    <row r="2" ht="15.75" thickBot="1"/>
    <row r="3" spans="1:21" s="11" customFormat="1" ht="16.5">
      <c r="A3" s="156"/>
      <c r="B3" s="45">
        <v>1998</v>
      </c>
      <c r="C3" s="53"/>
      <c r="D3" s="26">
        <v>1999</v>
      </c>
      <c r="E3" s="28"/>
      <c r="F3" s="26">
        <v>2000</v>
      </c>
      <c r="G3" s="28"/>
      <c r="H3" s="45">
        <v>2001</v>
      </c>
      <c r="I3" s="53"/>
      <c r="J3" s="45">
        <v>2002</v>
      </c>
      <c r="K3" s="53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5" customFormat="1" ht="15">
      <c r="A4" s="4"/>
      <c r="B4" s="32" t="s">
        <v>5</v>
      </c>
      <c r="C4" s="34"/>
      <c r="D4" s="29" t="s">
        <v>5</v>
      </c>
      <c r="E4" s="31"/>
      <c r="F4" s="29" t="s">
        <v>5</v>
      </c>
      <c r="G4" s="31"/>
      <c r="H4" s="81" t="s">
        <v>5</v>
      </c>
      <c r="I4" s="34"/>
      <c r="J4" s="81" t="s">
        <v>5</v>
      </c>
      <c r="K4" s="34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5" customFormat="1" ht="15">
      <c r="A5" s="4" t="s">
        <v>22</v>
      </c>
      <c r="B5" s="32" t="s">
        <v>8</v>
      </c>
      <c r="C5" s="34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81" t="s">
        <v>8</v>
      </c>
      <c r="I5" s="34" t="s">
        <v>7</v>
      </c>
      <c r="J5" s="81" t="s">
        <v>8</v>
      </c>
      <c r="K5" s="34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32"/>
      <c r="C6" s="34"/>
      <c r="D6" s="32"/>
      <c r="E6" s="34"/>
      <c r="F6" s="32"/>
      <c r="G6" s="34"/>
      <c r="H6" s="81"/>
      <c r="I6" s="34"/>
      <c r="J6" s="81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/>
      <c r="C7" s="43"/>
      <c r="D7" s="38">
        <v>330.57</v>
      </c>
      <c r="E7" s="41">
        <v>654.8</v>
      </c>
      <c r="F7" s="38">
        <v>137.14</v>
      </c>
      <c r="G7" s="41">
        <v>154.3</v>
      </c>
      <c r="H7" s="97">
        <v>307.94</v>
      </c>
      <c r="I7" s="83">
        <v>309.8</v>
      </c>
      <c r="J7" s="97">
        <v>543.6</v>
      </c>
      <c r="K7" s="83">
        <v>523.2</v>
      </c>
      <c r="L7" s="38">
        <v>605.56</v>
      </c>
      <c r="M7" s="43">
        <v>644.9</v>
      </c>
      <c r="N7" s="38">
        <v>213.98</v>
      </c>
      <c r="O7" s="43">
        <v>194.7</v>
      </c>
      <c r="P7" s="38">
        <f>660.71</f>
        <v>660.71</v>
      </c>
      <c r="Q7" s="43">
        <f>408.6</f>
        <v>408.6</v>
      </c>
      <c r="R7" s="38">
        <v>512.72</v>
      </c>
      <c r="S7" s="43">
        <v>244.5</v>
      </c>
      <c r="T7" s="38">
        <v>1645.25</v>
      </c>
      <c r="U7" s="43">
        <v>668.8</v>
      </c>
    </row>
    <row r="8" spans="1:21" ht="15">
      <c r="A8" s="2" t="s">
        <v>10</v>
      </c>
      <c r="B8" s="35"/>
      <c r="C8" s="43"/>
      <c r="D8" s="38">
        <v>260.89</v>
      </c>
      <c r="E8" s="41">
        <v>549.7</v>
      </c>
      <c r="F8" s="38">
        <v>907.84</v>
      </c>
      <c r="G8" s="41">
        <v>656</v>
      </c>
      <c r="H8" s="97">
        <v>687.06</v>
      </c>
      <c r="I8" s="43">
        <v>691.2</v>
      </c>
      <c r="J8" s="97">
        <v>0</v>
      </c>
      <c r="K8" s="43">
        <v>0</v>
      </c>
      <c r="L8" s="38">
        <v>482.56</v>
      </c>
      <c r="M8" s="43">
        <v>513.9</v>
      </c>
      <c r="N8" s="38">
        <v>416.52</v>
      </c>
      <c r="O8" s="43">
        <v>379</v>
      </c>
      <c r="P8" s="38">
        <v>661.35</v>
      </c>
      <c r="Q8" s="43">
        <v>409</v>
      </c>
      <c r="R8" s="38">
        <v>1010.12</v>
      </c>
      <c r="S8" s="43">
        <v>481.7</v>
      </c>
      <c r="T8" s="38">
        <f>1521.76+1766.77</f>
        <v>3288.5299999999997</v>
      </c>
      <c r="U8" s="43">
        <f>618.6+718.2</f>
        <v>1336.8000000000002</v>
      </c>
    </row>
    <row r="9" spans="1:21" ht="15">
      <c r="A9" s="2" t="s">
        <v>11</v>
      </c>
      <c r="B9" s="35"/>
      <c r="C9" s="43"/>
      <c r="D9" s="38"/>
      <c r="E9" s="41"/>
      <c r="F9" s="38">
        <v>0</v>
      </c>
      <c r="G9" s="41">
        <v>0</v>
      </c>
      <c r="H9" s="90">
        <v>268.08</v>
      </c>
      <c r="I9" s="43">
        <v>269.7</v>
      </c>
      <c r="J9" s="90">
        <v>499.24</v>
      </c>
      <c r="K9" s="43">
        <v>480.5</v>
      </c>
      <c r="L9" s="38">
        <v>304.14</v>
      </c>
      <c r="M9" s="43">
        <v>323.9</v>
      </c>
      <c r="N9" s="38">
        <v>463.56</v>
      </c>
      <c r="O9" s="43">
        <v>421.8</v>
      </c>
      <c r="P9" s="38">
        <v>675.74</v>
      </c>
      <c r="Q9" s="43">
        <v>417.9</v>
      </c>
      <c r="R9" s="38">
        <v>982.23</v>
      </c>
      <c r="S9" s="43">
        <v>468.4</v>
      </c>
      <c r="T9" s="38">
        <v>1741.68</v>
      </c>
      <c r="U9" s="43">
        <v>708</v>
      </c>
    </row>
    <row r="10" spans="1:21" ht="15">
      <c r="A10" s="2" t="s">
        <v>23</v>
      </c>
      <c r="B10" s="35"/>
      <c r="C10" s="43"/>
      <c r="D10" s="38">
        <v>236.56</v>
      </c>
      <c r="E10" s="41">
        <v>399.8</v>
      </c>
      <c r="F10" s="38">
        <v>496.33</v>
      </c>
      <c r="G10" s="41">
        <v>556.3</v>
      </c>
      <c r="H10" s="90">
        <v>486.19</v>
      </c>
      <c r="I10" s="43">
        <v>405.5</v>
      </c>
      <c r="J10" s="90">
        <v>200.11</v>
      </c>
      <c r="K10" s="43">
        <v>192.6</v>
      </c>
      <c r="L10" s="38">
        <v>406.87</v>
      </c>
      <c r="M10" s="43">
        <v>433.3</v>
      </c>
      <c r="N10" s="38">
        <v>610.05</v>
      </c>
      <c r="O10" s="43">
        <v>555.1</v>
      </c>
      <c r="P10" s="38">
        <v>802.52</v>
      </c>
      <c r="Q10" s="43">
        <v>496.3</v>
      </c>
      <c r="R10" s="38">
        <v>898.15</v>
      </c>
      <c r="S10" s="43">
        <v>428.3</v>
      </c>
      <c r="T10" s="38"/>
      <c r="U10" s="43"/>
    </row>
    <row r="11" spans="1:21" ht="15">
      <c r="A11" s="2" t="s">
        <v>13</v>
      </c>
      <c r="B11" s="35"/>
      <c r="C11" s="43"/>
      <c r="D11" s="38"/>
      <c r="E11" s="41"/>
      <c r="F11" s="38">
        <v>0</v>
      </c>
      <c r="G11" s="41">
        <v>0</v>
      </c>
      <c r="H11" s="90">
        <v>478.44</v>
      </c>
      <c r="I11" s="43">
        <v>432.9</v>
      </c>
      <c r="J11" s="90">
        <v>392.64</v>
      </c>
      <c r="K11" s="43">
        <v>377.9</v>
      </c>
      <c r="L11" s="38"/>
      <c r="M11" s="43"/>
      <c r="N11" s="38"/>
      <c r="O11" s="43"/>
      <c r="P11" s="38"/>
      <c r="Q11" s="43"/>
      <c r="R11" s="38">
        <f>-1170.13+3825.14</f>
        <v>2655.0099999999998</v>
      </c>
      <c r="S11" s="43">
        <f>-558+1824.1</f>
        <v>1266.1</v>
      </c>
      <c r="T11" s="38"/>
      <c r="U11" s="43"/>
    </row>
    <row r="12" spans="1:21" ht="15">
      <c r="A12" s="2" t="s">
        <v>14</v>
      </c>
      <c r="B12" s="35"/>
      <c r="C12" s="43"/>
      <c r="D12" s="38">
        <v>419.03</v>
      </c>
      <c r="E12" s="41">
        <v>710.7</v>
      </c>
      <c r="F12" s="38">
        <v>613.63</v>
      </c>
      <c r="G12" s="41">
        <v>639.4</v>
      </c>
      <c r="H12" s="90">
        <v>81.67</v>
      </c>
      <c r="I12" s="43">
        <v>78.6</v>
      </c>
      <c r="J12" s="90">
        <v>144.52</v>
      </c>
      <c r="K12" s="43">
        <v>139.1</v>
      </c>
      <c r="L12" s="38">
        <v>438.17</v>
      </c>
      <c r="M12" s="43">
        <v>398.7</v>
      </c>
      <c r="N12" s="38">
        <v>529.5</v>
      </c>
      <c r="O12" s="43">
        <v>481.8</v>
      </c>
      <c r="P12" s="38">
        <v>984.59</v>
      </c>
      <c r="Q12" s="43">
        <v>608.9</v>
      </c>
      <c r="R12" s="38">
        <v>425.69</v>
      </c>
      <c r="S12" s="43">
        <v>203</v>
      </c>
      <c r="T12" s="38"/>
      <c r="U12" s="43"/>
    </row>
    <row r="13" spans="1:21" ht="15">
      <c r="A13" s="2" t="s">
        <v>15</v>
      </c>
      <c r="B13" s="35"/>
      <c r="C13" s="43"/>
      <c r="D13" s="38"/>
      <c r="E13" s="41"/>
      <c r="F13" s="38">
        <v>0</v>
      </c>
      <c r="G13" s="41">
        <v>0</v>
      </c>
      <c r="H13" s="90"/>
      <c r="I13" s="43"/>
      <c r="J13" s="90">
        <v>0</v>
      </c>
      <c r="K13" s="43">
        <v>0</v>
      </c>
      <c r="L13" s="38"/>
      <c r="M13" s="43"/>
      <c r="N13" s="38"/>
      <c r="O13" s="43"/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/>
      <c r="C14" s="43"/>
      <c r="D14" s="38">
        <v>98.61</v>
      </c>
      <c r="E14" s="41">
        <v>134.4</v>
      </c>
      <c r="F14" s="38">
        <v>134.19</v>
      </c>
      <c r="G14" s="41">
        <v>135</v>
      </c>
      <c r="H14" s="90">
        <v>168.11</v>
      </c>
      <c r="I14" s="43">
        <v>161.8</v>
      </c>
      <c r="J14" s="90">
        <v>150.24</v>
      </c>
      <c r="K14" s="43">
        <v>160</v>
      </c>
      <c r="L14" s="38"/>
      <c r="M14" s="43"/>
      <c r="N14" s="38">
        <v>230.9</v>
      </c>
      <c r="O14" s="43">
        <v>210.1</v>
      </c>
      <c r="P14" s="38">
        <v>570.59</v>
      </c>
      <c r="Q14" s="43">
        <v>272.1</v>
      </c>
      <c r="R14" s="38">
        <v>1279.94</v>
      </c>
      <c r="S14" s="43">
        <v>520.3</v>
      </c>
      <c r="T14" s="38"/>
      <c r="U14" s="43"/>
    </row>
    <row r="15" spans="1:21" ht="15">
      <c r="A15" s="2" t="s">
        <v>17</v>
      </c>
      <c r="B15" s="35"/>
      <c r="C15" s="43"/>
      <c r="D15" s="38"/>
      <c r="E15" s="41"/>
      <c r="F15" s="38">
        <v>0</v>
      </c>
      <c r="G15" s="41">
        <v>0</v>
      </c>
      <c r="H15" s="90"/>
      <c r="I15" s="43"/>
      <c r="J15" s="90">
        <v>0</v>
      </c>
      <c r="K15" s="43">
        <v>0</v>
      </c>
      <c r="L15" s="38">
        <v>214.41</v>
      </c>
      <c r="M15" s="43">
        <v>195.1</v>
      </c>
      <c r="N15" s="38"/>
      <c r="O15" s="43"/>
      <c r="P15" s="38"/>
      <c r="Q15" s="43"/>
      <c r="R15" s="38"/>
      <c r="S15" s="43"/>
      <c r="T15" s="38"/>
      <c r="U15" s="43"/>
    </row>
    <row r="16" spans="1:21" ht="15">
      <c r="A16" s="2" t="s">
        <v>18</v>
      </c>
      <c r="B16" s="35">
        <v>235.66</v>
      </c>
      <c r="C16" s="43">
        <v>486.6</v>
      </c>
      <c r="D16" s="38"/>
      <c r="E16" s="41"/>
      <c r="F16" s="38">
        <v>322.55</v>
      </c>
      <c r="G16" s="41">
        <v>324.5</v>
      </c>
      <c r="H16" s="90">
        <v>355.23</v>
      </c>
      <c r="I16" s="43">
        <v>341.9</v>
      </c>
      <c r="J16" s="90">
        <v>433.63</v>
      </c>
      <c r="K16" s="43">
        <v>461.8</v>
      </c>
      <c r="L16" s="38">
        <v>499.72</v>
      </c>
      <c r="M16" s="43">
        <v>454.7</v>
      </c>
      <c r="N16" s="38"/>
      <c r="O16" s="43"/>
      <c r="P16" s="38"/>
      <c r="Q16" s="43"/>
      <c r="R16" s="38"/>
      <c r="S16" s="43"/>
      <c r="T16" s="38"/>
      <c r="U16" s="43"/>
    </row>
    <row r="17" spans="1:21" ht="15">
      <c r="A17" s="2" t="s">
        <v>19</v>
      </c>
      <c r="B17" s="35">
        <v>234.35</v>
      </c>
      <c r="C17" s="43">
        <v>442.7</v>
      </c>
      <c r="D17" s="38">
        <v>548.75</v>
      </c>
      <c r="E17" s="41">
        <v>690.6</v>
      </c>
      <c r="F17" s="38">
        <v>385.77</v>
      </c>
      <c r="G17" s="41">
        <v>388.1</v>
      </c>
      <c r="H17" s="90">
        <v>329.78</v>
      </c>
      <c r="I17" s="43">
        <v>317.4</v>
      </c>
      <c r="J17" s="90">
        <v>261.32</v>
      </c>
      <c r="K17" s="43">
        <v>278.3</v>
      </c>
      <c r="L17" s="38"/>
      <c r="M17" s="43"/>
      <c r="N17" s="38">
        <v>961.47</v>
      </c>
      <c r="O17" s="43">
        <v>594.6</v>
      </c>
      <c r="P17" s="38">
        <v>1090.65</v>
      </c>
      <c r="Q17" s="43">
        <v>522.2</v>
      </c>
      <c r="R17" s="38">
        <v>2907.23</v>
      </c>
      <c r="S17" s="43">
        <v>1181.8</v>
      </c>
      <c r="T17" s="38"/>
      <c r="U17" s="43"/>
    </row>
    <row r="18" spans="1:21" ht="15.75" thickBot="1">
      <c r="A18" s="2" t="s">
        <v>20</v>
      </c>
      <c r="B18" s="99">
        <v>184.44</v>
      </c>
      <c r="C18" s="86">
        <v>378.8</v>
      </c>
      <c r="D18" s="38">
        <v>334.02</v>
      </c>
      <c r="E18" s="41">
        <v>396.6</v>
      </c>
      <c r="F18" s="38">
        <v>318.08</v>
      </c>
      <c r="G18" s="41">
        <v>320</v>
      </c>
      <c r="H18" s="90">
        <v>343.18</v>
      </c>
      <c r="I18" s="43">
        <v>330.3</v>
      </c>
      <c r="J18" s="90">
        <v>225.17</v>
      </c>
      <c r="K18" s="43">
        <v>239.8</v>
      </c>
      <c r="L18" s="38">
        <v>864.36</v>
      </c>
      <c r="M18" s="43">
        <v>786.5</v>
      </c>
      <c r="N18" s="38">
        <v>927.35</v>
      </c>
      <c r="O18" s="43">
        <v>573.5</v>
      </c>
      <c r="P18" s="38">
        <v>1520.33</v>
      </c>
      <c r="Q18" s="43">
        <v>725</v>
      </c>
      <c r="R18" s="38">
        <v>947.84</v>
      </c>
      <c r="S18" s="43">
        <v>385.3</v>
      </c>
      <c r="T18" s="38"/>
      <c r="U18" s="43"/>
    </row>
    <row r="19" spans="1:21" s="1" customFormat="1" ht="15.75" thickBot="1">
      <c r="A19" s="2" t="s">
        <v>21</v>
      </c>
      <c r="B19" s="37">
        <f aca="true" t="shared" si="0" ref="B19:G19">SUM(B7:B18)</f>
        <v>654.45</v>
      </c>
      <c r="C19" s="52">
        <f t="shared" si="0"/>
        <v>1308.1</v>
      </c>
      <c r="D19" s="93">
        <f t="shared" si="0"/>
        <v>2228.43</v>
      </c>
      <c r="E19" s="94">
        <f t="shared" si="0"/>
        <v>3536.6</v>
      </c>
      <c r="F19" s="93">
        <f t="shared" si="0"/>
        <v>3315.53</v>
      </c>
      <c r="G19" s="94">
        <f t="shared" si="0"/>
        <v>3173.6</v>
      </c>
      <c r="H19" s="98">
        <f aca="true" t="shared" si="1" ref="H19:M19">SUM(H7:H18)</f>
        <v>3505.68</v>
      </c>
      <c r="I19" s="52">
        <f t="shared" si="1"/>
        <v>3339.1000000000004</v>
      </c>
      <c r="J19" s="98">
        <f t="shared" si="1"/>
        <v>2850.4700000000003</v>
      </c>
      <c r="K19" s="52">
        <f t="shared" si="1"/>
        <v>2853.2000000000003</v>
      </c>
      <c r="L19" s="133">
        <f t="shared" si="1"/>
        <v>3815.7899999999995</v>
      </c>
      <c r="M19" s="89">
        <f t="shared" si="1"/>
        <v>3750.9999999999995</v>
      </c>
      <c r="N19" s="133">
        <f aca="true" t="shared" si="2" ref="N19:S19">SUM(N7:N18)</f>
        <v>4353.33</v>
      </c>
      <c r="O19" s="89">
        <f t="shared" si="2"/>
        <v>3410.6</v>
      </c>
      <c r="P19" s="133">
        <f t="shared" si="2"/>
        <v>6966.48</v>
      </c>
      <c r="Q19" s="89">
        <f t="shared" si="2"/>
        <v>3860</v>
      </c>
      <c r="R19" s="133">
        <f t="shared" si="2"/>
        <v>11618.929999999998</v>
      </c>
      <c r="S19" s="89">
        <f t="shared" si="2"/>
        <v>5179.400000000001</v>
      </c>
      <c r="T19" s="133">
        <f>SUM(T7:T18)</f>
        <v>6675.46</v>
      </c>
      <c r="U19" s="89">
        <f>SUM(U7:U18)</f>
        <v>2713.6000000000004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19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U10" sqref="U10"/>
    </sheetView>
  </sheetViews>
  <sheetFormatPr defaultColWidth="11.5546875" defaultRowHeight="15"/>
  <cols>
    <col min="1" max="1" width="16.5546875" style="3" bestFit="1" customWidth="1"/>
    <col min="2" max="2" width="8.6640625" style="8" bestFit="1" customWidth="1"/>
    <col min="3" max="3" width="9.6640625" style="0" bestFit="1" customWidth="1"/>
    <col min="4" max="4" width="9.6640625" style="8" bestFit="1" customWidth="1"/>
    <col min="5" max="7" width="9.6640625" style="0" bestFit="1" customWidth="1"/>
    <col min="8" max="8" width="10.3359375" style="111" bestFit="1" customWidth="1"/>
    <col min="9" max="9" width="9.6640625" style="0" bestFit="1" customWidth="1"/>
    <col min="10" max="10" width="10.3359375" style="0" bestFit="1" customWidth="1"/>
    <col min="11" max="13" width="9.6640625" style="0" bestFit="1" customWidth="1"/>
    <col min="14" max="14" width="9.6640625" style="0" customWidth="1"/>
    <col min="15" max="15" width="8.6640625" style="0" customWidth="1"/>
    <col min="16" max="16" width="9.6640625" style="0" bestFit="1" customWidth="1"/>
    <col min="17" max="17" width="8.6640625" style="0" customWidth="1"/>
    <col min="18" max="18" width="9.4453125" style="0" customWidth="1"/>
    <col min="19" max="19" width="8.6640625" style="0" customWidth="1"/>
    <col min="20" max="20" width="9.6640625" style="0" bestFit="1" customWidth="1"/>
    <col min="21" max="16384" width="8.6640625" style="0" customWidth="1"/>
  </cols>
  <sheetData>
    <row r="1" ht="16.5">
      <c r="A1" s="158" t="s">
        <v>32</v>
      </c>
    </row>
    <row r="2" ht="15.75" thickBot="1"/>
    <row r="3" spans="2:21" s="11" customFormat="1" ht="15">
      <c r="B3" s="45">
        <v>1998</v>
      </c>
      <c r="C3" s="53"/>
      <c r="D3" s="26">
        <v>1999</v>
      </c>
      <c r="E3" s="28"/>
      <c r="F3" s="26">
        <v>2000</v>
      </c>
      <c r="G3" s="28"/>
      <c r="H3" s="124">
        <v>2001</v>
      </c>
      <c r="I3" s="53"/>
      <c r="J3" s="124">
        <v>2002</v>
      </c>
      <c r="K3" s="53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5" customFormat="1" ht="15">
      <c r="A4"/>
      <c r="B4" s="32" t="s">
        <v>34</v>
      </c>
      <c r="C4" s="34"/>
      <c r="D4" s="29" t="s">
        <v>5</v>
      </c>
      <c r="E4" s="31"/>
      <c r="F4" s="29" t="s">
        <v>5</v>
      </c>
      <c r="G4" s="31"/>
      <c r="H4" s="112" t="s">
        <v>5</v>
      </c>
      <c r="I4" s="34"/>
      <c r="J4" s="112" t="s">
        <v>5</v>
      </c>
      <c r="K4" s="34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5" customFormat="1" ht="15">
      <c r="A5" s="4" t="s">
        <v>22</v>
      </c>
      <c r="B5" s="32" t="s">
        <v>8</v>
      </c>
      <c r="C5" s="34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112" t="s">
        <v>8</v>
      </c>
      <c r="I5" s="34" t="s">
        <v>7</v>
      </c>
      <c r="J5" s="112" t="s">
        <v>8</v>
      </c>
      <c r="K5" s="34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32"/>
      <c r="C6" s="34"/>
      <c r="D6" s="32"/>
      <c r="E6" s="34"/>
      <c r="F6" s="32"/>
      <c r="G6" s="34"/>
      <c r="H6" s="112"/>
      <c r="I6" s="34"/>
      <c r="J6" s="112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/>
      <c r="C7" s="43"/>
      <c r="D7" s="38">
        <v>221.13</v>
      </c>
      <c r="E7" s="41">
        <v>426.1</v>
      </c>
      <c r="F7" s="38">
        <v>157.5</v>
      </c>
      <c r="G7" s="41">
        <v>177.2</v>
      </c>
      <c r="H7" s="113">
        <v>290.55</v>
      </c>
      <c r="I7" s="83">
        <v>292.3</v>
      </c>
      <c r="J7" s="113">
        <v>553.06</v>
      </c>
      <c r="K7" s="83">
        <v>532.3</v>
      </c>
      <c r="L7" s="38">
        <v>408.28</v>
      </c>
      <c r="M7" s="43">
        <v>434.8</v>
      </c>
      <c r="N7" s="38">
        <v>295.96</v>
      </c>
      <c r="O7" s="43">
        <v>269.3</v>
      </c>
      <c r="P7" s="38">
        <v>517.44</v>
      </c>
      <c r="Q7" s="43">
        <v>320</v>
      </c>
      <c r="R7" s="38">
        <v>570.38</v>
      </c>
      <c r="S7" s="43">
        <v>272</v>
      </c>
      <c r="T7" s="38">
        <v>755.22</v>
      </c>
      <c r="U7" s="43">
        <v>307</v>
      </c>
    </row>
    <row r="8" spans="1:21" ht="15">
      <c r="A8" s="2" t="s">
        <v>10</v>
      </c>
      <c r="B8" s="35"/>
      <c r="C8" s="43"/>
      <c r="D8" s="38"/>
      <c r="E8" s="41"/>
      <c r="F8" s="38">
        <v>877.7</v>
      </c>
      <c r="G8" s="41">
        <v>589.3</v>
      </c>
      <c r="H8" s="114">
        <v>829.19</v>
      </c>
      <c r="I8" s="43">
        <v>834.2</v>
      </c>
      <c r="J8" s="114">
        <v>257.26</v>
      </c>
      <c r="K8" s="43">
        <v>247.6</v>
      </c>
      <c r="L8" s="38">
        <v>426.96</v>
      </c>
      <c r="M8" s="43">
        <v>454.7</v>
      </c>
      <c r="N8" s="38">
        <v>312.12</v>
      </c>
      <c r="O8" s="43">
        <v>284</v>
      </c>
      <c r="P8" s="38">
        <v>551.4</v>
      </c>
      <c r="Q8" s="43">
        <v>341</v>
      </c>
      <c r="R8" s="38">
        <v>623.44</v>
      </c>
      <c r="S8" s="43">
        <v>297.3</v>
      </c>
      <c r="T8" s="38">
        <f>674.04+795.07</f>
        <v>1469.1100000000001</v>
      </c>
      <c r="U8" s="43">
        <f>274+323.2</f>
        <v>597.2</v>
      </c>
    </row>
    <row r="9" spans="1:21" ht="15">
      <c r="A9" s="2" t="s">
        <v>11</v>
      </c>
      <c r="B9" s="35"/>
      <c r="C9" s="43"/>
      <c r="D9" s="38">
        <v>297.82</v>
      </c>
      <c r="E9" s="41">
        <v>596</v>
      </c>
      <c r="F9" s="38">
        <v>0</v>
      </c>
      <c r="G9" s="41">
        <v>0</v>
      </c>
      <c r="H9" s="114"/>
      <c r="I9" s="43"/>
      <c r="J9" s="114">
        <v>304.53</v>
      </c>
      <c r="K9" s="43">
        <v>283.1</v>
      </c>
      <c r="L9" s="38">
        <v>225.45</v>
      </c>
      <c r="M9" s="43">
        <v>240.1</v>
      </c>
      <c r="N9" s="38">
        <v>323.11</v>
      </c>
      <c r="O9" s="43">
        <v>294</v>
      </c>
      <c r="P9" s="38">
        <v>644.21</v>
      </c>
      <c r="Q9" s="43">
        <v>398.4</v>
      </c>
      <c r="R9" s="38">
        <v>637.91</v>
      </c>
      <c r="S9" s="43">
        <v>304.2</v>
      </c>
      <c r="T9" s="38">
        <v>727.42</v>
      </c>
      <c r="U9" s="43">
        <v>295.7</v>
      </c>
    </row>
    <row r="10" spans="1:21" ht="15">
      <c r="A10" s="2" t="s">
        <v>23</v>
      </c>
      <c r="B10" s="35"/>
      <c r="C10" s="43"/>
      <c r="D10" s="38">
        <v>268.02</v>
      </c>
      <c r="E10" s="41">
        <v>449.1</v>
      </c>
      <c r="F10" s="38">
        <v>675.66</v>
      </c>
      <c r="G10" s="41">
        <v>757.3</v>
      </c>
      <c r="H10" s="114">
        <v>649.26</v>
      </c>
      <c r="I10" s="43">
        <v>541.5</v>
      </c>
      <c r="J10" s="114">
        <v>332.48</v>
      </c>
      <c r="K10" s="43">
        <v>320</v>
      </c>
      <c r="L10" s="38">
        <v>370.81</v>
      </c>
      <c r="M10" s="43">
        <v>394.9</v>
      </c>
      <c r="N10" s="38">
        <v>453.78</v>
      </c>
      <c r="O10" s="43">
        <v>412.9</v>
      </c>
      <c r="P10" s="38">
        <v>619.31</v>
      </c>
      <c r="Q10" s="43">
        <v>383</v>
      </c>
      <c r="R10" s="38">
        <v>551.09</v>
      </c>
      <c r="S10" s="43">
        <v>262.8</v>
      </c>
      <c r="T10" s="38"/>
      <c r="U10" s="43"/>
    </row>
    <row r="11" spans="1:21" ht="15">
      <c r="A11" s="2" t="s">
        <v>13</v>
      </c>
      <c r="B11" s="35"/>
      <c r="C11" s="43"/>
      <c r="D11" s="38"/>
      <c r="E11" s="41"/>
      <c r="F11" s="38">
        <v>0</v>
      </c>
      <c r="G11" s="41">
        <v>0</v>
      </c>
      <c r="H11" s="114">
        <v>408.5</v>
      </c>
      <c r="I11" s="43">
        <v>340.7</v>
      </c>
      <c r="J11" s="114">
        <v>467.55</v>
      </c>
      <c r="K11" s="43">
        <v>450</v>
      </c>
      <c r="L11" s="38"/>
      <c r="M11" s="43"/>
      <c r="N11" s="38"/>
      <c r="O11" s="43"/>
      <c r="P11" s="38"/>
      <c r="Q11" s="43"/>
      <c r="R11" s="38"/>
      <c r="S11" s="43"/>
      <c r="T11" s="38"/>
      <c r="U11" s="43"/>
    </row>
    <row r="12" spans="1:21" ht="15">
      <c r="A12" s="2" t="s">
        <v>14</v>
      </c>
      <c r="B12" s="35"/>
      <c r="C12" s="43"/>
      <c r="D12" s="38">
        <v>271.22</v>
      </c>
      <c r="E12" s="41">
        <v>460</v>
      </c>
      <c r="F12" s="38">
        <v>847.8</v>
      </c>
      <c r="G12" s="41">
        <v>883.4</v>
      </c>
      <c r="H12" s="114">
        <v>392.12</v>
      </c>
      <c r="I12" s="43">
        <v>377.4</v>
      </c>
      <c r="J12" s="114">
        <v>211.54</v>
      </c>
      <c r="K12" s="43">
        <v>203.6</v>
      </c>
      <c r="L12" s="38">
        <v>413.22</v>
      </c>
      <c r="M12" s="43">
        <v>376</v>
      </c>
      <c r="N12" s="38">
        <v>390.25</v>
      </c>
      <c r="O12" s="43">
        <v>355.1</v>
      </c>
      <c r="P12" s="38">
        <v>808.5</v>
      </c>
      <c r="Q12" s="43">
        <v>500</v>
      </c>
      <c r="R12" s="38">
        <v>687.19</v>
      </c>
      <c r="S12" s="43">
        <v>327.7</v>
      </c>
      <c r="T12" s="38"/>
      <c r="U12" s="43"/>
    </row>
    <row r="13" spans="1:21" ht="15">
      <c r="A13" s="2" t="s">
        <v>15</v>
      </c>
      <c r="B13" s="35"/>
      <c r="C13" s="43"/>
      <c r="D13" s="38"/>
      <c r="E13" s="41"/>
      <c r="F13" s="38">
        <v>0</v>
      </c>
      <c r="G13" s="41">
        <v>0</v>
      </c>
      <c r="H13" s="114"/>
      <c r="I13" s="43"/>
      <c r="J13" s="114">
        <v>0</v>
      </c>
      <c r="K13" s="43">
        <v>0</v>
      </c>
      <c r="L13" s="38"/>
      <c r="M13" s="43"/>
      <c r="N13" s="38"/>
      <c r="O13" s="43"/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/>
      <c r="C14" s="43"/>
      <c r="D14" s="38"/>
      <c r="E14" s="41"/>
      <c r="F14" s="38">
        <v>114.91</v>
      </c>
      <c r="G14" s="41">
        <v>115.6</v>
      </c>
      <c r="H14" s="114">
        <v>147.64</v>
      </c>
      <c r="I14" s="43">
        <v>142.1</v>
      </c>
      <c r="J14" s="114">
        <v>335.04</v>
      </c>
      <c r="K14" s="43">
        <v>356.8</v>
      </c>
      <c r="L14" s="38"/>
      <c r="M14" s="43"/>
      <c r="N14" s="38">
        <v>139.02</v>
      </c>
      <c r="O14" s="43">
        <v>126.5</v>
      </c>
      <c r="P14" s="38">
        <v>314.55</v>
      </c>
      <c r="Q14" s="43">
        <v>150</v>
      </c>
      <c r="R14" s="38">
        <v>238.62</v>
      </c>
      <c r="S14" s="43">
        <v>97</v>
      </c>
      <c r="T14" s="38"/>
      <c r="U14" s="43"/>
    </row>
    <row r="15" spans="1:21" ht="15">
      <c r="A15" s="2" t="s">
        <v>17</v>
      </c>
      <c r="B15" s="35"/>
      <c r="C15" s="43"/>
      <c r="D15" s="38"/>
      <c r="E15" s="41"/>
      <c r="F15" s="38">
        <v>0</v>
      </c>
      <c r="G15" s="41">
        <v>0</v>
      </c>
      <c r="H15" s="114"/>
      <c r="I15" s="43"/>
      <c r="J15" s="114">
        <v>0</v>
      </c>
      <c r="K15" s="43">
        <v>0</v>
      </c>
      <c r="L15" s="38">
        <v>187.93</v>
      </c>
      <c r="M15" s="43">
        <v>171</v>
      </c>
      <c r="N15" s="38"/>
      <c r="O15" s="43"/>
      <c r="P15" s="38"/>
      <c r="Q15" s="43"/>
      <c r="R15" s="38"/>
      <c r="S15" s="43"/>
      <c r="T15" s="38"/>
      <c r="U15" s="43"/>
    </row>
    <row r="16" spans="1:21" ht="15">
      <c r="A16" s="2" t="s">
        <v>18</v>
      </c>
      <c r="B16" s="35"/>
      <c r="C16" s="43"/>
      <c r="D16" s="38"/>
      <c r="E16" s="41"/>
      <c r="F16" s="38">
        <v>448.89</v>
      </c>
      <c r="G16" s="41">
        <v>451.6</v>
      </c>
      <c r="H16" s="114">
        <v>300.79</v>
      </c>
      <c r="I16" s="43">
        <v>289.5</v>
      </c>
      <c r="J16" s="114">
        <v>464.62</v>
      </c>
      <c r="K16" s="43">
        <v>494.8</v>
      </c>
      <c r="L16" s="38">
        <v>408.83</v>
      </c>
      <c r="M16" s="43">
        <v>372</v>
      </c>
      <c r="N16" s="38"/>
      <c r="O16" s="43"/>
      <c r="P16" s="38"/>
      <c r="Q16" s="43"/>
      <c r="R16" s="38"/>
      <c r="S16" s="43"/>
      <c r="T16" s="38"/>
      <c r="U16" s="43"/>
    </row>
    <row r="17" spans="1:21" ht="15">
      <c r="A17" s="2" t="s">
        <v>19</v>
      </c>
      <c r="B17" s="35">
        <v>350.63</v>
      </c>
      <c r="C17" s="43">
        <v>643.6</v>
      </c>
      <c r="D17" s="38">
        <v>450.35</v>
      </c>
      <c r="E17" s="41">
        <v>581.7</v>
      </c>
      <c r="F17" s="38">
        <v>481.59</v>
      </c>
      <c r="G17" s="41">
        <v>484.5</v>
      </c>
      <c r="H17" s="114">
        <v>329.67</v>
      </c>
      <c r="I17" s="43">
        <v>317.3</v>
      </c>
      <c r="J17" s="114">
        <v>266.11</v>
      </c>
      <c r="K17" s="43">
        <v>283.4</v>
      </c>
      <c r="L17" s="38"/>
      <c r="M17" s="43"/>
      <c r="N17" s="38">
        <v>693.69</v>
      </c>
      <c r="O17" s="43">
        <v>429</v>
      </c>
      <c r="P17" s="38">
        <v>714.45</v>
      </c>
      <c r="Q17" s="43">
        <v>340.7</v>
      </c>
      <c r="R17" s="38">
        <v>361.62</v>
      </c>
      <c r="S17" s="43">
        <v>147</v>
      </c>
      <c r="T17" s="38"/>
      <c r="U17" s="43"/>
    </row>
    <row r="18" spans="1:21" ht="15.75" thickBot="1">
      <c r="A18" s="2" t="s">
        <v>20</v>
      </c>
      <c r="B18" s="99">
        <v>139.74</v>
      </c>
      <c r="C18" s="86">
        <v>287</v>
      </c>
      <c r="D18" s="38">
        <v>482.83</v>
      </c>
      <c r="E18" s="41">
        <v>573.3</v>
      </c>
      <c r="F18" s="38">
        <v>323.45</v>
      </c>
      <c r="G18" s="41">
        <v>325.4</v>
      </c>
      <c r="H18" s="116">
        <v>384.53</v>
      </c>
      <c r="I18" s="86">
        <v>370.1</v>
      </c>
      <c r="J18" s="116">
        <v>242.07</v>
      </c>
      <c r="K18" s="86">
        <v>257.8</v>
      </c>
      <c r="L18" s="38">
        <v>643.24</v>
      </c>
      <c r="M18" s="43">
        <v>585.3</v>
      </c>
      <c r="N18" s="38">
        <v>707.92</v>
      </c>
      <c r="O18" s="43">
        <v>437.8</v>
      </c>
      <c r="P18" s="38">
        <v>603.73</v>
      </c>
      <c r="Q18" s="43">
        <v>287.9</v>
      </c>
      <c r="R18" s="38">
        <v>1326.43</v>
      </c>
      <c r="S18" s="43">
        <v>539.2</v>
      </c>
      <c r="T18" s="38"/>
      <c r="U18" s="43"/>
    </row>
    <row r="19" spans="1:21" s="1" customFormat="1" ht="15.75" thickBot="1">
      <c r="A19" s="2" t="s">
        <v>21</v>
      </c>
      <c r="B19" s="37">
        <f aca="true" t="shared" si="0" ref="B19:G19">SUM(B7:B18)</f>
        <v>490.37</v>
      </c>
      <c r="C19" s="52">
        <f t="shared" si="0"/>
        <v>930.6</v>
      </c>
      <c r="D19" s="93">
        <f>SUM(D7:D18)</f>
        <v>1991.37</v>
      </c>
      <c r="E19" s="94">
        <f t="shared" si="0"/>
        <v>3086.2</v>
      </c>
      <c r="F19" s="93">
        <f t="shared" si="0"/>
        <v>3927.4999999999995</v>
      </c>
      <c r="G19" s="94">
        <f t="shared" si="0"/>
        <v>3784.2999999999997</v>
      </c>
      <c r="H19" s="115">
        <f aca="true" t="shared" si="1" ref="H19:M19">SUM(H7:H18)</f>
        <v>3732.25</v>
      </c>
      <c r="I19" s="52">
        <f t="shared" si="1"/>
        <v>3505.1</v>
      </c>
      <c r="J19" s="115">
        <f t="shared" si="1"/>
        <v>3434.26</v>
      </c>
      <c r="K19" s="52">
        <f t="shared" si="1"/>
        <v>3429.4000000000005</v>
      </c>
      <c r="L19" s="133">
        <f t="shared" si="1"/>
        <v>3084.7200000000003</v>
      </c>
      <c r="M19" s="89">
        <f t="shared" si="1"/>
        <v>3028.8</v>
      </c>
      <c r="N19" s="133">
        <f aca="true" t="shared" si="2" ref="N19:S19">SUM(N7:N18)</f>
        <v>3315.85</v>
      </c>
      <c r="O19" s="89">
        <f t="shared" si="2"/>
        <v>2608.6</v>
      </c>
      <c r="P19" s="133">
        <f t="shared" si="2"/>
        <v>4773.59</v>
      </c>
      <c r="Q19" s="89">
        <f t="shared" si="2"/>
        <v>2721</v>
      </c>
      <c r="R19" s="133">
        <f t="shared" si="2"/>
        <v>4996.68</v>
      </c>
      <c r="S19" s="89">
        <f t="shared" si="2"/>
        <v>2247.2</v>
      </c>
      <c r="T19" s="133">
        <f>SUM(T7:T18)</f>
        <v>2951.75</v>
      </c>
      <c r="U19" s="89">
        <f>SUM(U7:U18)</f>
        <v>1199.9</v>
      </c>
    </row>
  </sheetData>
  <printOptions gridLines="1"/>
  <pageMargins left="0.75" right="0.75" top="1" bottom="1" header="0.5" footer="0.5"/>
  <pageSetup horizontalDpi="360" verticalDpi="36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U19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V10" sqref="V10"/>
    </sheetView>
  </sheetViews>
  <sheetFormatPr defaultColWidth="11.5546875" defaultRowHeight="15"/>
  <cols>
    <col min="1" max="1" width="14.3359375" style="3" bestFit="1" customWidth="1"/>
    <col min="2" max="2" width="8.6640625" style="12" bestFit="1" customWidth="1"/>
    <col min="3" max="3" width="9.6640625" style="0" bestFit="1" customWidth="1"/>
    <col min="4" max="4" width="9.6640625" style="8" bestFit="1" customWidth="1"/>
    <col min="5" max="7" width="9.6640625" style="0" bestFit="1" customWidth="1"/>
    <col min="8" max="8" width="10.3359375" style="111" customWidth="1"/>
    <col min="9" max="9" width="9.6640625" style="0" bestFit="1" customWidth="1"/>
    <col min="10" max="10" width="10.3359375" style="0" bestFit="1" customWidth="1"/>
    <col min="11" max="11" width="9.6640625" style="0" bestFit="1" customWidth="1"/>
    <col min="12" max="12" width="9.6640625" style="0" customWidth="1"/>
    <col min="13" max="16" width="9.6640625" style="0" bestFit="1" customWidth="1"/>
    <col min="17" max="17" width="8.6640625" style="0" customWidth="1"/>
    <col min="18" max="18" width="9.88671875" style="0" customWidth="1"/>
    <col min="19" max="19" width="8.6640625" style="0" customWidth="1"/>
    <col min="20" max="20" width="9.6640625" style="0" bestFit="1" customWidth="1"/>
    <col min="21" max="16384" width="8.6640625" style="0" customWidth="1"/>
  </cols>
  <sheetData>
    <row r="1" ht="15">
      <c r="A1" s="153" t="s">
        <v>28</v>
      </c>
    </row>
    <row r="2" ht="15.75" thickBot="1"/>
    <row r="3" spans="1:21" s="11" customFormat="1" ht="16.5">
      <c r="A3" s="156"/>
      <c r="B3" s="45">
        <v>1998</v>
      </c>
      <c r="C3" s="53"/>
      <c r="D3" s="26">
        <v>1999</v>
      </c>
      <c r="E3" s="28"/>
      <c r="F3" s="26">
        <v>2000</v>
      </c>
      <c r="G3" s="28"/>
      <c r="H3" s="118">
        <v>2001</v>
      </c>
      <c r="I3" s="53"/>
      <c r="J3" s="118" t="s">
        <v>33</v>
      </c>
      <c r="K3" s="53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5" customFormat="1" ht="15">
      <c r="A4" s="4"/>
      <c r="B4" s="50" t="s">
        <v>5</v>
      </c>
      <c r="C4" s="34"/>
      <c r="D4" s="29" t="s">
        <v>5</v>
      </c>
      <c r="E4" s="31"/>
      <c r="F4" s="29" t="s">
        <v>5</v>
      </c>
      <c r="G4" s="31"/>
      <c r="H4" s="112" t="s">
        <v>5</v>
      </c>
      <c r="I4" s="34"/>
      <c r="J4" s="112" t="s">
        <v>5</v>
      </c>
      <c r="K4" s="34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5" customFormat="1" ht="15">
      <c r="A5" s="4" t="s">
        <v>22</v>
      </c>
      <c r="B5" s="50" t="s">
        <v>8</v>
      </c>
      <c r="C5" s="34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112" t="s">
        <v>8</v>
      </c>
      <c r="I5" s="34" t="s">
        <v>7</v>
      </c>
      <c r="J5" s="112" t="s">
        <v>8</v>
      </c>
      <c r="K5" s="34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50"/>
      <c r="C6" s="34"/>
      <c r="D6" s="32"/>
      <c r="E6" s="34"/>
      <c r="F6" s="32"/>
      <c r="G6" s="34"/>
      <c r="H6" s="112"/>
      <c r="I6" s="34"/>
      <c r="J6" s="112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/>
      <c r="C7" s="43">
        <v>0</v>
      </c>
      <c r="D7" s="38">
        <v>194.73</v>
      </c>
      <c r="E7" s="41">
        <v>373.4</v>
      </c>
      <c r="F7" s="38">
        <v>287.42</v>
      </c>
      <c r="G7" s="41">
        <v>329.2</v>
      </c>
      <c r="H7" s="113">
        <v>171.86</v>
      </c>
      <c r="I7" s="83">
        <v>172.9</v>
      </c>
      <c r="J7" s="113">
        <v>0</v>
      </c>
      <c r="K7" s="83">
        <v>0</v>
      </c>
      <c r="L7" s="38">
        <v>547.91</v>
      </c>
      <c r="M7" s="43">
        <v>583.5</v>
      </c>
      <c r="N7" s="38">
        <v>319.59</v>
      </c>
      <c r="O7" s="43">
        <v>290.8</v>
      </c>
      <c r="P7" s="38">
        <v>440.79</v>
      </c>
      <c r="Q7" s="43">
        <v>272.6</v>
      </c>
      <c r="R7" s="38">
        <v>568.71</v>
      </c>
      <c r="S7" s="43">
        <v>271.2</v>
      </c>
      <c r="T7" s="38">
        <v>682.9</v>
      </c>
      <c r="U7" s="43">
        <v>277.6</v>
      </c>
    </row>
    <row r="8" spans="1:21" ht="15">
      <c r="A8" s="2" t="s">
        <v>10</v>
      </c>
      <c r="B8" s="35"/>
      <c r="C8" s="43"/>
      <c r="D8" s="38">
        <v>155.95</v>
      </c>
      <c r="E8" s="41">
        <v>325.3</v>
      </c>
      <c r="F8" s="38">
        <v>480.62</v>
      </c>
      <c r="G8" s="41">
        <v>322.7</v>
      </c>
      <c r="H8" s="113">
        <v>355.95</v>
      </c>
      <c r="I8" s="83">
        <v>358.1</v>
      </c>
      <c r="J8" s="113">
        <v>0</v>
      </c>
      <c r="K8" s="83">
        <v>0</v>
      </c>
      <c r="L8" s="38">
        <v>194.65</v>
      </c>
      <c r="M8" s="43">
        <v>207.3</v>
      </c>
      <c r="N8" s="38">
        <v>355.2</v>
      </c>
      <c r="O8" s="43">
        <v>323.2</v>
      </c>
      <c r="P8" s="38">
        <v>447.1</v>
      </c>
      <c r="Q8" s="43">
        <v>276.5</v>
      </c>
      <c r="R8" s="38">
        <v>628.89</v>
      </c>
      <c r="S8" s="43">
        <v>299.9</v>
      </c>
      <c r="T8" s="38">
        <f>788.18</f>
        <v>788.18</v>
      </c>
      <c r="U8" s="43">
        <f>320.4</f>
        <v>320.4</v>
      </c>
    </row>
    <row r="9" spans="1:21" ht="15">
      <c r="A9" s="2" t="s">
        <v>11</v>
      </c>
      <c r="B9" s="35"/>
      <c r="C9" s="43"/>
      <c r="D9" s="38">
        <v>162.74</v>
      </c>
      <c r="E9" s="41">
        <v>317.3</v>
      </c>
      <c r="F9" s="38">
        <v>316.33</v>
      </c>
      <c r="G9" s="41">
        <v>301.3</v>
      </c>
      <c r="H9" s="114">
        <v>331</v>
      </c>
      <c r="I9" s="43">
        <v>333</v>
      </c>
      <c r="J9" s="114">
        <v>454.46</v>
      </c>
      <c r="K9" s="43">
        <v>437.4</v>
      </c>
      <c r="L9" s="38">
        <v>291.28</v>
      </c>
      <c r="M9" s="43">
        <v>310.2</v>
      </c>
      <c r="N9" s="38">
        <v>382.01</v>
      </c>
      <c r="O9" s="43">
        <v>347.6</v>
      </c>
      <c r="P9" s="38">
        <f>503.86+459.71</f>
        <v>963.5699999999999</v>
      </c>
      <c r="Q9" s="43">
        <f>311.6+284.3</f>
        <v>595.9000000000001</v>
      </c>
      <c r="R9" s="38">
        <v>670.41</v>
      </c>
      <c r="S9" s="43">
        <v>319.7</v>
      </c>
      <c r="T9" s="38">
        <v>679.7</v>
      </c>
      <c r="U9" s="43">
        <v>276.3</v>
      </c>
    </row>
    <row r="10" spans="1:21" ht="15">
      <c r="A10" s="2" t="s">
        <v>23</v>
      </c>
      <c r="B10" s="35"/>
      <c r="C10" s="43"/>
      <c r="D10" s="38">
        <v>144.43</v>
      </c>
      <c r="E10" s="41">
        <v>244.1</v>
      </c>
      <c r="F10" s="38">
        <v>324.42</v>
      </c>
      <c r="G10" s="41">
        <v>350</v>
      </c>
      <c r="H10" s="114">
        <v>439.07</v>
      </c>
      <c r="I10" s="43">
        <v>366.2</v>
      </c>
      <c r="J10" s="114">
        <v>397.42</v>
      </c>
      <c r="K10" s="43">
        <v>382.5</v>
      </c>
      <c r="L10" s="38">
        <v>323.58</v>
      </c>
      <c r="M10" s="43">
        <v>344.6</v>
      </c>
      <c r="N10" s="38">
        <v>403.99</v>
      </c>
      <c r="O10" s="43">
        <v>367.6</v>
      </c>
      <c r="P10" s="38"/>
      <c r="Q10" s="43"/>
      <c r="R10" s="38">
        <v>597.02</v>
      </c>
      <c r="S10" s="43">
        <v>284.7</v>
      </c>
      <c r="T10" s="38">
        <v>686.09</v>
      </c>
      <c r="U10" s="43">
        <v>278.9</v>
      </c>
    </row>
    <row r="11" spans="1:21" ht="15">
      <c r="A11" s="2" t="s">
        <v>13</v>
      </c>
      <c r="B11" s="35"/>
      <c r="C11" s="43"/>
      <c r="D11" s="38">
        <v>212.96</v>
      </c>
      <c r="E11" s="41">
        <v>356</v>
      </c>
      <c r="F11" s="38">
        <v>0</v>
      </c>
      <c r="G11" s="41">
        <v>0</v>
      </c>
      <c r="H11" s="114"/>
      <c r="I11" s="43"/>
      <c r="J11" s="114">
        <v>347.03</v>
      </c>
      <c r="K11" s="43">
        <v>334</v>
      </c>
      <c r="L11" s="38">
        <v>288.55</v>
      </c>
      <c r="M11" s="43">
        <v>307.3</v>
      </c>
      <c r="N11" s="38"/>
      <c r="O11" s="43"/>
      <c r="P11" s="38">
        <v>434.81</v>
      </c>
      <c r="Q11" s="43">
        <v>268.9</v>
      </c>
      <c r="R11" s="38"/>
      <c r="S11" s="43"/>
      <c r="T11" s="38"/>
      <c r="U11" s="43"/>
    </row>
    <row r="12" spans="1:21" ht="15">
      <c r="A12" s="2" t="s">
        <v>14</v>
      </c>
      <c r="B12" s="35"/>
      <c r="C12" s="43"/>
      <c r="D12" s="38">
        <v>29.6</v>
      </c>
      <c r="E12" s="41">
        <v>50.2</v>
      </c>
      <c r="F12" s="38">
        <v>290.36</v>
      </c>
      <c r="G12" s="41">
        <v>298.8</v>
      </c>
      <c r="H12" s="114">
        <v>391.18</v>
      </c>
      <c r="I12" s="43">
        <v>376.5</v>
      </c>
      <c r="J12" s="114">
        <v>68.16</v>
      </c>
      <c r="K12" s="43">
        <v>65.6</v>
      </c>
      <c r="L12" s="38">
        <v>38.14</v>
      </c>
      <c r="M12" s="43">
        <v>34.7</v>
      </c>
      <c r="N12" s="38">
        <f>367.4+23.08</f>
        <v>390.47999999999996</v>
      </c>
      <c r="O12" s="43">
        <f>334.3+21</f>
        <v>355.3</v>
      </c>
      <c r="P12" s="38">
        <v>160.73</v>
      </c>
      <c r="Q12" s="43">
        <v>99.4</v>
      </c>
      <c r="R12" s="38">
        <v>340.76</v>
      </c>
      <c r="S12" s="43">
        <v>162.5</v>
      </c>
      <c r="T12" s="38"/>
      <c r="U12" s="43"/>
    </row>
    <row r="13" spans="1:21" ht="15">
      <c r="A13" s="2" t="s">
        <v>15</v>
      </c>
      <c r="B13" s="35"/>
      <c r="C13" s="43"/>
      <c r="D13" s="38"/>
      <c r="E13" s="41"/>
      <c r="F13" s="38">
        <v>0</v>
      </c>
      <c r="G13" s="41">
        <v>0</v>
      </c>
      <c r="H13" s="114"/>
      <c r="I13" s="43"/>
      <c r="J13" s="114">
        <v>0</v>
      </c>
      <c r="K13" s="43">
        <v>0</v>
      </c>
      <c r="L13" s="38"/>
      <c r="M13" s="43"/>
      <c r="N13" s="38"/>
      <c r="O13" s="43"/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/>
      <c r="C14" s="43"/>
      <c r="D14" s="38">
        <v>106.46</v>
      </c>
      <c r="E14" s="41">
        <v>145.1</v>
      </c>
      <c r="F14" s="38">
        <v>1091.19</v>
      </c>
      <c r="G14" s="41">
        <v>101.8</v>
      </c>
      <c r="H14" s="114"/>
      <c r="I14" s="43"/>
      <c r="J14" s="114">
        <v>77.37</v>
      </c>
      <c r="K14" s="43">
        <v>82.4</v>
      </c>
      <c r="L14" s="38"/>
      <c r="M14" s="43"/>
      <c r="N14" s="38">
        <v>81.77</v>
      </c>
      <c r="O14" s="43">
        <v>74.4</v>
      </c>
      <c r="P14" s="38">
        <v>115.54</v>
      </c>
      <c r="Q14" s="43">
        <v>55.1</v>
      </c>
      <c r="R14" s="38">
        <v>167.53</v>
      </c>
      <c r="S14" s="43">
        <v>68.1</v>
      </c>
      <c r="T14" s="38"/>
      <c r="U14" s="43"/>
    </row>
    <row r="15" spans="1:21" ht="15">
      <c r="A15" s="2" t="s">
        <v>17</v>
      </c>
      <c r="B15" s="35"/>
      <c r="C15" s="43"/>
      <c r="D15" s="38"/>
      <c r="E15" s="41"/>
      <c r="F15" s="38">
        <v>0</v>
      </c>
      <c r="G15" s="41">
        <v>0</v>
      </c>
      <c r="H15" s="114"/>
      <c r="I15" s="43"/>
      <c r="J15" s="114">
        <v>0</v>
      </c>
      <c r="K15" s="43">
        <v>0</v>
      </c>
      <c r="L15" s="38">
        <v>133.64</v>
      </c>
      <c r="M15" s="43">
        <v>121.6</v>
      </c>
      <c r="N15" s="38"/>
      <c r="O15" s="43"/>
      <c r="P15" s="38"/>
      <c r="Q15" s="43"/>
      <c r="R15" s="38"/>
      <c r="S15" s="43"/>
      <c r="T15" s="38"/>
      <c r="U15" s="43"/>
    </row>
    <row r="16" spans="1:21" ht="15">
      <c r="A16" s="2" t="s">
        <v>18</v>
      </c>
      <c r="B16" s="35">
        <v>117.78</v>
      </c>
      <c r="C16" s="43">
        <v>243.2</v>
      </c>
      <c r="D16" s="38">
        <v>188.1</v>
      </c>
      <c r="E16" s="41">
        <v>246.3</v>
      </c>
      <c r="F16" s="38">
        <v>221.56</v>
      </c>
      <c r="G16" s="41">
        <v>222.9</v>
      </c>
      <c r="H16" s="114">
        <v>296.32</v>
      </c>
      <c r="I16" s="43">
        <v>285.2</v>
      </c>
      <c r="J16" s="114">
        <v>170.62</v>
      </c>
      <c r="K16" s="43">
        <v>181.7</v>
      </c>
      <c r="L16" s="38">
        <v>279.59</v>
      </c>
      <c r="M16" s="43">
        <v>254.4</v>
      </c>
      <c r="N16" s="38">
        <v>364.19</v>
      </c>
      <c r="O16" s="43">
        <v>203.4</v>
      </c>
      <c r="P16" s="38">
        <v>330.28</v>
      </c>
      <c r="Q16" s="43">
        <v>157.5</v>
      </c>
      <c r="R16" s="38">
        <v>495.44</v>
      </c>
      <c r="S16" s="43">
        <v>201.4</v>
      </c>
      <c r="T16" s="38"/>
      <c r="U16" s="43"/>
    </row>
    <row r="17" spans="1:21" ht="15">
      <c r="A17" s="2" t="s">
        <v>19</v>
      </c>
      <c r="B17" s="35">
        <v>132.62</v>
      </c>
      <c r="C17" s="43">
        <v>250.4</v>
      </c>
      <c r="D17" s="38">
        <v>128.21</v>
      </c>
      <c r="E17" s="41">
        <v>165.6</v>
      </c>
      <c r="F17" s="38">
        <v>206.45</v>
      </c>
      <c r="G17" s="41">
        <v>207.7</v>
      </c>
      <c r="H17" s="114">
        <v>241.88</v>
      </c>
      <c r="I17" s="43">
        <v>232.8</v>
      </c>
      <c r="J17" s="114">
        <v>244.7</v>
      </c>
      <c r="K17" s="43">
        <v>260.6</v>
      </c>
      <c r="L17" s="38">
        <v>331.9</v>
      </c>
      <c r="M17" s="43">
        <v>302</v>
      </c>
      <c r="N17" s="38">
        <v>442.73</v>
      </c>
      <c r="O17" s="43">
        <v>273.8</v>
      </c>
      <c r="P17" s="38">
        <v>458.83</v>
      </c>
      <c r="Q17" s="43">
        <v>218.8</v>
      </c>
      <c r="R17" s="38">
        <v>498.4</v>
      </c>
      <c r="S17" s="43">
        <v>202.6</v>
      </c>
      <c r="T17" s="38"/>
      <c r="U17" s="43"/>
    </row>
    <row r="18" spans="1:21" ht="15.75" thickBot="1">
      <c r="A18" s="2" t="s">
        <v>20</v>
      </c>
      <c r="B18" s="99">
        <v>164.19</v>
      </c>
      <c r="C18" s="86">
        <v>323.2</v>
      </c>
      <c r="D18" s="38">
        <v>377.32</v>
      </c>
      <c r="E18" s="41">
        <v>442.3</v>
      </c>
      <c r="F18" s="38">
        <v>639.34</v>
      </c>
      <c r="G18" s="41">
        <v>643.2</v>
      </c>
      <c r="H18" s="114">
        <v>275.85</v>
      </c>
      <c r="I18" s="43">
        <v>265.5</v>
      </c>
      <c r="J18" s="114">
        <v>242.73</v>
      </c>
      <c r="K18" s="43">
        <v>258.5</v>
      </c>
      <c r="L18" s="38">
        <v>375.64</v>
      </c>
      <c r="M18" s="43">
        <v>341.8</v>
      </c>
      <c r="N18" s="38">
        <v>513.72</v>
      </c>
      <c r="O18" s="43">
        <v>317.7</v>
      </c>
      <c r="P18" s="38">
        <v>643.78</v>
      </c>
      <c r="Q18" s="43">
        <v>307</v>
      </c>
      <c r="R18" s="38">
        <v>758.66</v>
      </c>
      <c r="S18" s="43">
        <v>308.4</v>
      </c>
      <c r="T18" s="38"/>
      <c r="U18" s="43"/>
    </row>
    <row r="19" spans="1:21" s="1" customFormat="1" ht="15.75" thickBot="1">
      <c r="A19" s="2" t="s">
        <v>21</v>
      </c>
      <c r="B19" s="37">
        <f>SUM(B7:B18)</f>
        <v>414.59000000000003</v>
      </c>
      <c r="C19" s="52">
        <f>SUM(C16:C18)</f>
        <v>816.8</v>
      </c>
      <c r="D19" s="93">
        <f aca="true" t="shared" si="0" ref="D19:I19">SUM(D7:D18)</f>
        <v>1700.5</v>
      </c>
      <c r="E19" s="94">
        <f t="shared" si="0"/>
        <v>2665.6</v>
      </c>
      <c r="F19" s="93">
        <f t="shared" si="0"/>
        <v>3857.69</v>
      </c>
      <c r="G19" s="94">
        <f t="shared" si="0"/>
        <v>2777.6000000000004</v>
      </c>
      <c r="H19" s="117">
        <f t="shared" si="0"/>
        <v>2503.1099999999997</v>
      </c>
      <c r="I19" s="52">
        <f t="shared" si="0"/>
        <v>2390.2000000000003</v>
      </c>
      <c r="J19" s="117">
        <f aca="true" t="shared" si="1" ref="J19:O19">SUM(J7:J18)</f>
        <v>2002.49</v>
      </c>
      <c r="K19" s="52">
        <f t="shared" si="1"/>
        <v>2002.7000000000003</v>
      </c>
      <c r="L19" s="133">
        <f t="shared" si="1"/>
        <v>2804.88</v>
      </c>
      <c r="M19" s="89">
        <f t="shared" si="1"/>
        <v>2807.4</v>
      </c>
      <c r="N19" s="133">
        <f t="shared" si="1"/>
        <v>3253.6800000000003</v>
      </c>
      <c r="O19" s="89">
        <f t="shared" si="1"/>
        <v>2553.8</v>
      </c>
      <c r="P19" s="133">
        <f aca="true" t="shared" si="2" ref="P19:U19">SUM(P7:P18)</f>
        <v>3995.4299999999994</v>
      </c>
      <c r="Q19" s="89">
        <f t="shared" si="2"/>
        <v>2251.7</v>
      </c>
      <c r="R19" s="133">
        <f t="shared" si="2"/>
        <v>4725.820000000001</v>
      </c>
      <c r="S19" s="89">
        <f>SUM(S7:S18)</f>
        <v>2118.5</v>
      </c>
      <c r="T19" s="133">
        <f t="shared" si="2"/>
        <v>2836.87</v>
      </c>
      <c r="U19" s="89">
        <f t="shared" si="2"/>
        <v>1153.1999999999998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U19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V10" sqref="V10"/>
    </sheetView>
  </sheetViews>
  <sheetFormatPr defaultColWidth="11.5546875" defaultRowHeight="15"/>
  <cols>
    <col min="1" max="1" width="14.3359375" style="3" bestFit="1" customWidth="1"/>
    <col min="2" max="2" width="8.88671875" style="8" customWidth="1"/>
    <col min="3" max="3" width="8.6640625" style="0" customWidth="1"/>
    <col min="4" max="4" width="8.88671875" style="8" customWidth="1"/>
    <col min="5" max="7" width="8.6640625" style="0" customWidth="1"/>
    <col min="8" max="8" width="10.3359375" style="111" bestFit="1" customWidth="1"/>
    <col min="9" max="13" width="8.6640625" style="0" customWidth="1"/>
    <col min="14" max="14" width="9.6640625" style="0" bestFit="1" customWidth="1"/>
    <col min="15" max="15" width="8.6640625" style="0" customWidth="1"/>
    <col min="16" max="16" width="9.6640625" style="0" bestFit="1" customWidth="1"/>
    <col min="17" max="17" width="8.6640625" style="0" customWidth="1"/>
    <col min="18" max="18" width="9.6640625" style="0" customWidth="1"/>
    <col min="19" max="19" width="8.6640625" style="0" customWidth="1"/>
    <col min="20" max="20" width="9.6640625" style="0" bestFit="1" customWidth="1"/>
    <col min="21" max="16384" width="8.6640625" style="0" customWidth="1"/>
  </cols>
  <sheetData>
    <row r="2" ht="15.75" thickBot="1">
      <c r="A2" s="153" t="s">
        <v>28</v>
      </c>
    </row>
    <row r="3" spans="1:21" s="11" customFormat="1" ht="16.5">
      <c r="A3" s="159"/>
      <c r="B3" s="45">
        <v>1998</v>
      </c>
      <c r="C3" s="53"/>
      <c r="D3" s="26">
        <v>1999</v>
      </c>
      <c r="E3" s="28"/>
      <c r="F3" s="26">
        <v>2000</v>
      </c>
      <c r="G3" s="28"/>
      <c r="H3" s="118">
        <v>2001</v>
      </c>
      <c r="I3" s="53"/>
      <c r="J3" s="118" t="s">
        <v>33</v>
      </c>
      <c r="K3" s="53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5" customFormat="1" ht="15">
      <c r="A4" s="4"/>
      <c r="B4" s="32" t="s">
        <v>5</v>
      </c>
      <c r="D4" s="29" t="s">
        <v>5</v>
      </c>
      <c r="E4" s="31"/>
      <c r="F4" s="29" t="s">
        <v>5</v>
      </c>
      <c r="G4" s="31"/>
      <c r="H4" s="112" t="s">
        <v>5</v>
      </c>
      <c r="I4" s="34"/>
      <c r="J4" s="112" t="s">
        <v>5</v>
      </c>
      <c r="K4" s="34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5" customFormat="1" ht="15">
      <c r="A5" s="4" t="s">
        <v>22</v>
      </c>
      <c r="B5" s="32" t="s">
        <v>8</v>
      </c>
      <c r="C5" s="34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112" t="s">
        <v>8</v>
      </c>
      <c r="I5" s="34" t="s">
        <v>7</v>
      </c>
      <c r="J5" s="112" t="s">
        <v>8</v>
      </c>
      <c r="K5" s="34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32"/>
      <c r="C6" s="34"/>
      <c r="D6" s="32"/>
      <c r="E6" s="34"/>
      <c r="F6" s="32"/>
      <c r="G6" s="34"/>
      <c r="H6" s="112"/>
      <c r="I6" s="34"/>
      <c r="J6" s="112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/>
      <c r="C7" s="43"/>
      <c r="D7" s="38">
        <v>31.48</v>
      </c>
      <c r="E7" s="41">
        <v>62.1</v>
      </c>
      <c r="F7" s="38">
        <v>0</v>
      </c>
      <c r="G7" s="41">
        <v>0</v>
      </c>
      <c r="H7" s="114"/>
      <c r="I7" s="43"/>
      <c r="J7" s="114">
        <v>106.39</v>
      </c>
      <c r="K7" s="43">
        <v>102.4</v>
      </c>
      <c r="L7" s="38">
        <v>177.19</v>
      </c>
      <c r="M7" s="43">
        <v>188.7</v>
      </c>
      <c r="N7" s="38">
        <v>127.15</v>
      </c>
      <c r="O7" s="43">
        <v>115.7</v>
      </c>
      <c r="P7" s="38">
        <v>161.05</v>
      </c>
      <c r="Q7" s="43">
        <v>99.6</v>
      </c>
      <c r="R7" s="38">
        <v>226.27</v>
      </c>
      <c r="S7" s="43">
        <v>107.9</v>
      </c>
      <c r="T7" s="38">
        <v>246.74</v>
      </c>
      <c r="U7" s="43">
        <v>100.3</v>
      </c>
    </row>
    <row r="8" spans="1:21" ht="15">
      <c r="A8" s="2" t="s">
        <v>10</v>
      </c>
      <c r="B8" s="35"/>
      <c r="C8" s="43"/>
      <c r="D8" s="38">
        <v>84.79</v>
      </c>
      <c r="E8" s="41">
        <v>167.3</v>
      </c>
      <c r="F8" s="38">
        <v>0</v>
      </c>
      <c r="G8" s="41">
        <v>0</v>
      </c>
      <c r="H8" s="113">
        <v>219.2</v>
      </c>
      <c r="I8" s="83">
        <v>217.88</v>
      </c>
      <c r="J8" s="113">
        <v>130.5</v>
      </c>
      <c r="K8" s="83">
        <v>125.6</v>
      </c>
      <c r="L8" s="38">
        <v>90.9</v>
      </c>
      <c r="M8" s="43">
        <v>96.8</v>
      </c>
      <c r="N8" s="38">
        <v>209.3</v>
      </c>
      <c r="O8" s="43">
        <v>230.02</v>
      </c>
      <c r="P8" s="38">
        <v>302.7</v>
      </c>
      <c r="Q8" s="43">
        <v>187.2</v>
      </c>
      <c r="R8" s="38">
        <v>365.72</v>
      </c>
      <c r="S8" s="43">
        <v>174.4</v>
      </c>
      <c r="T8" s="38">
        <v>272.08</v>
      </c>
      <c r="U8" s="43">
        <v>110.6</v>
      </c>
    </row>
    <row r="9" spans="1:21" ht="15">
      <c r="A9" s="2" t="s">
        <v>11</v>
      </c>
      <c r="B9" s="35"/>
      <c r="C9" s="43"/>
      <c r="D9" s="38">
        <v>141.19</v>
      </c>
      <c r="E9" s="41">
        <v>248.1</v>
      </c>
      <c r="F9" s="38">
        <v>0</v>
      </c>
      <c r="G9" s="41">
        <v>0</v>
      </c>
      <c r="H9" s="114"/>
      <c r="I9" s="43"/>
      <c r="J9" s="114">
        <v>167.59</v>
      </c>
      <c r="K9" s="43">
        <v>161.3</v>
      </c>
      <c r="L9" s="38">
        <v>192.5</v>
      </c>
      <c r="M9" s="43">
        <v>205</v>
      </c>
      <c r="N9" s="38">
        <v>74.51</v>
      </c>
      <c r="O9" s="43">
        <v>67.8</v>
      </c>
      <c r="P9" s="38">
        <f>161.05+204.23</f>
        <v>365.28</v>
      </c>
      <c r="Q9" s="43">
        <f>99.6+126.3</f>
        <v>225.89999999999998</v>
      </c>
      <c r="R9" s="38">
        <v>318.74</v>
      </c>
      <c r="S9" s="43">
        <v>152</v>
      </c>
      <c r="T9" s="38">
        <v>218.94</v>
      </c>
      <c r="U9" s="43">
        <v>89</v>
      </c>
    </row>
    <row r="10" spans="1:21" ht="15">
      <c r="A10" s="2" t="s">
        <v>23</v>
      </c>
      <c r="B10" s="35"/>
      <c r="C10" s="43"/>
      <c r="D10" s="38"/>
      <c r="E10" s="41"/>
      <c r="F10" s="38">
        <v>269.18</v>
      </c>
      <c r="G10" s="41">
        <v>263.9</v>
      </c>
      <c r="H10" s="114">
        <v>283.32</v>
      </c>
      <c r="I10" s="43">
        <v>236.3</v>
      </c>
      <c r="J10" s="114">
        <v>130.5</v>
      </c>
      <c r="K10" s="43">
        <v>125.6</v>
      </c>
      <c r="L10" s="38">
        <v>56.72</v>
      </c>
      <c r="M10" s="43">
        <v>60.4</v>
      </c>
      <c r="N10" s="38">
        <v>193.64</v>
      </c>
      <c r="O10" s="43">
        <v>176.2</v>
      </c>
      <c r="P10" s="38">
        <v>802.52</v>
      </c>
      <c r="Q10" s="43">
        <v>496.3</v>
      </c>
      <c r="R10" s="38">
        <v>253.53</v>
      </c>
      <c r="S10" s="43">
        <v>120.9</v>
      </c>
      <c r="T10" s="38">
        <v>240.34</v>
      </c>
      <c r="U10" s="43">
        <v>97.7</v>
      </c>
    </row>
    <row r="11" spans="1:21" ht="15">
      <c r="A11" s="2" t="s">
        <v>13</v>
      </c>
      <c r="B11" s="35"/>
      <c r="C11" s="43"/>
      <c r="D11" s="38"/>
      <c r="E11" s="41"/>
      <c r="F11" s="38">
        <v>0</v>
      </c>
      <c r="G11" s="41">
        <v>0</v>
      </c>
      <c r="H11" s="114"/>
      <c r="I11" s="43"/>
      <c r="J11" s="114">
        <v>109.2</v>
      </c>
      <c r="K11" s="43">
        <v>105.1</v>
      </c>
      <c r="L11" s="38">
        <v>103.29</v>
      </c>
      <c r="M11" s="43">
        <v>110</v>
      </c>
      <c r="N11" s="38"/>
      <c r="O11" s="43"/>
      <c r="P11" s="38">
        <v>205.04</v>
      </c>
      <c r="Q11" s="43">
        <v>126.8</v>
      </c>
      <c r="R11" s="38"/>
      <c r="S11" s="43"/>
      <c r="T11" s="38"/>
      <c r="U11" s="43"/>
    </row>
    <row r="12" spans="1:21" ht="15">
      <c r="A12" s="2" t="s">
        <v>14</v>
      </c>
      <c r="B12" s="35"/>
      <c r="C12" s="43"/>
      <c r="D12" s="38">
        <v>71.58</v>
      </c>
      <c r="E12" s="41">
        <v>121.4</v>
      </c>
      <c r="F12" s="38">
        <v>45.04</v>
      </c>
      <c r="G12" s="41">
        <v>47.8</v>
      </c>
      <c r="H12" s="114">
        <v>85.2</v>
      </c>
      <c r="I12" s="43">
        <v>82</v>
      </c>
      <c r="J12" s="114">
        <v>35.78</v>
      </c>
      <c r="K12" s="43">
        <v>38.1</v>
      </c>
      <c r="L12" s="38">
        <v>2.86</v>
      </c>
      <c r="M12" s="43">
        <v>2.6</v>
      </c>
      <c r="N12" s="38">
        <v>121.22</v>
      </c>
      <c r="O12" s="43">
        <v>110.3</v>
      </c>
      <c r="P12" s="38">
        <v>37.19</v>
      </c>
      <c r="Q12" s="43">
        <v>23</v>
      </c>
      <c r="R12" s="38">
        <v>67.94</v>
      </c>
      <c r="S12" s="43">
        <v>32.4</v>
      </c>
      <c r="T12" s="38"/>
      <c r="U12" s="43"/>
    </row>
    <row r="13" spans="1:21" ht="15">
      <c r="A13" s="2" t="s">
        <v>15</v>
      </c>
      <c r="B13" s="35"/>
      <c r="C13" s="43"/>
      <c r="D13" s="38"/>
      <c r="E13" s="41"/>
      <c r="F13" s="38">
        <v>0</v>
      </c>
      <c r="G13" s="41">
        <v>0</v>
      </c>
      <c r="H13" s="114"/>
      <c r="I13" s="43"/>
      <c r="J13" s="114">
        <v>0</v>
      </c>
      <c r="K13" s="43">
        <v>0</v>
      </c>
      <c r="L13" s="38"/>
      <c r="M13" s="43"/>
      <c r="N13" s="38"/>
      <c r="O13" s="43"/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/>
      <c r="C14" s="43"/>
      <c r="D14" s="38">
        <v>2.86</v>
      </c>
      <c r="E14" s="41">
        <v>3.9</v>
      </c>
      <c r="F14" s="38">
        <v>1.39</v>
      </c>
      <c r="G14" s="41">
        <v>1.4</v>
      </c>
      <c r="H14" s="114">
        <v>1.77</v>
      </c>
      <c r="I14" s="43">
        <v>1.7</v>
      </c>
      <c r="J14" s="114">
        <v>4.04</v>
      </c>
      <c r="K14" s="43">
        <v>4.3</v>
      </c>
      <c r="L14" s="38"/>
      <c r="M14" s="43"/>
      <c r="N14" s="38">
        <v>9.12</v>
      </c>
      <c r="O14" s="43">
        <v>8.3</v>
      </c>
      <c r="P14" s="38">
        <v>6.5</v>
      </c>
      <c r="Q14" s="43">
        <v>3.1</v>
      </c>
      <c r="R14" s="38">
        <v>5.17</v>
      </c>
      <c r="S14" s="43">
        <v>2.1</v>
      </c>
      <c r="T14" s="38"/>
      <c r="U14" s="43"/>
    </row>
    <row r="15" spans="1:21" ht="15">
      <c r="A15" s="2" t="s">
        <v>17</v>
      </c>
      <c r="B15" s="35"/>
      <c r="C15" s="43"/>
      <c r="D15" s="38"/>
      <c r="E15" s="41"/>
      <c r="F15" s="38">
        <v>0</v>
      </c>
      <c r="G15" s="41">
        <v>0</v>
      </c>
      <c r="H15" s="114"/>
      <c r="I15" s="43"/>
      <c r="J15" s="114">
        <v>0</v>
      </c>
      <c r="K15" s="43">
        <v>0</v>
      </c>
      <c r="L15" s="38">
        <v>1.43</v>
      </c>
      <c r="M15" s="43">
        <v>1.3</v>
      </c>
      <c r="N15" s="38"/>
      <c r="O15" s="43"/>
      <c r="P15" s="38"/>
      <c r="Q15" s="43"/>
      <c r="R15" s="38"/>
      <c r="S15" s="43"/>
      <c r="T15" s="38"/>
      <c r="U15" s="43"/>
    </row>
    <row r="16" spans="1:21" ht="15">
      <c r="A16" s="2" t="s">
        <v>18</v>
      </c>
      <c r="B16" s="35"/>
      <c r="C16" s="43"/>
      <c r="D16" s="38"/>
      <c r="E16" s="41"/>
      <c r="F16" s="38">
        <v>0</v>
      </c>
      <c r="G16" s="41">
        <v>0</v>
      </c>
      <c r="H16" s="114"/>
      <c r="I16" s="43"/>
      <c r="J16" s="114">
        <v>37</v>
      </c>
      <c r="K16" s="43">
        <v>39.4</v>
      </c>
      <c r="L16" s="38">
        <v>45.83</v>
      </c>
      <c r="M16" s="43">
        <v>41.7</v>
      </c>
      <c r="N16" s="38">
        <v>80.39</v>
      </c>
      <c r="O16" s="43">
        <v>44.9</v>
      </c>
      <c r="P16" s="38">
        <v>76.12</v>
      </c>
      <c r="Q16" s="43">
        <v>36.3</v>
      </c>
      <c r="R16" s="38"/>
      <c r="S16" s="43"/>
      <c r="T16" s="38"/>
      <c r="U16" s="43"/>
    </row>
    <row r="17" spans="1:21" ht="15">
      <c r="A17" s="2" t="s">
        <v>19</v>
      </c>
      <c r="B17" s="35">
        <v>139.42</v>
      </c>
      <c r="C17" s="43">
        <v>257.9</v>
      </c>
      <c r="D17" s="38">
        <v>128.44</v>
      </c>
      <c r="E17" s="41">
        <v>165.9</v>
      </c>
      <c r="F17" s="38">
        <v>122.06</v>
      </c>
      <c r="G17" s="41">
        <v>122.8</v>
      </c>
      <c r="H17" s="114">
        <v>86.03</v>
      </c>
      <c r="I17" s="43">
        <v>82.8</v>
      </c>
      <c r="J17" s="114">
        <v>77.75</v>
      </c>
      <c r="K17" s="43">
        <v>82.8</v>
      </c>
      <c r="L17" s="38">
        <v>125.73</v>
      </c>
      <c r="M17" s="43">
        <v>114.4</v>
      </c>
      <c r="N17" s="38">
        <v>187.41</v>
      </c>
      <c r="O17" s="43">
        <v>115.9</v>
      </c>
      <c r="P17" s="38">
        <v>161.68</v>
      </c>
      <c r="Q17" s="43">
        <v>77.1</v>
      </c>
      <c r="R17" s="38">
        <v>285.85</v>
      </c>
      <c r="S17" s="43">
        <v>116.2</v>
      </c>
      <c r="T17" s="38"/>
      <c r="U17" s="43"/>
    </row>
    <row r="18" spans="1:21" ht="15.75" thickBot="1">
      <c r="A18" s="2" t="s">
        <v>20</v>
      </c>
      <c r="B18" s="35">
        <v>77.24</v>
      </c>
      <c r="C18" s="43">
        <v>152.3</v>
      </c>
      <c r="D18" s="38">
        <v>165.74</v>
      </c>
      <c r="E18" s="41">
        <v>196.8</v>
      </c>
      <c r="F18" s="38">
        <v>198.9</v>
      </c>
      <c r="G18" s="41">
        <v>200.1</v>
      </c>
      <c r="H18" s="114">
        <v>118.55</v>
      </c>
      <c r="I18" s="43">
        <v>114.1</v>
      </c>
      <c r="J18" s="114">
        <v>108.36</v>
      </c>
      <c r="K18" s="43">
        <v>115.4</v>
      </c>
      <c r="L18" s="38">
        <v>175.51</v>
      </c>
      <c r="M18" s="43">
        <v>159.7</v>
      </c>
      <c r="N18" s="38">
        <v>205.04</v>
      </c>
      <c r="O18" s="43">
        <v>126.8</v>
      </c>
      <c r="P18" s="38">
        <v>349.15</v>
      </c>
      <c r="Q18" s="43">
        <v>166.5</v>
      </c>
      <c r="R18" s="38">
        <v>276.75</v>
      </c>
      <c r="S18" s="43">
        <v>112.5</v>
      </c>
      <c r="T18" s="38"/>
      <c r="U18" s="43"/>
    </row>
    <row r="19" spans="1:21" s="1" customFormat="1" ht="15.75" thickBot="1">
      <c r="A19" s="2" t="s">
        <v>21</v>
      </c>
      <c r="B19" s="37">
        <f aca="true" t="shared" si="0" ref="B19:G19">SUM(B7:B18)</f>
        <v>216.65999999999997</v>
      </c>
      <c r="C19" s="52">
        <f t="shared" si="0"/>
        <v>410.2</v>
      </c>
      <c r="D19" s="93">
        <f t="shared" si="0"/>
        <v>626.08</v>
      </c>
      <c r="E19" s="94">
        <f t="shared" si="0"/>
        <v>965.5</v>
      </c>
      <c r="F19" s="93">
        <f t="shared" si="0"/>
        <v>636.57</v>
      </c>
      <c r="G19" s="94">
        <f t="shared" si="0"/>
        <v>636</v>
      </c>
      <c r="H19" s="117">
        <f aca="true" t="shared" si="1" ref="H19:T19">SUM(H7:H18)</f>
        <v>794.0699999999999</v>
      </c>
      <c r="I19" s="52">
        <f t="shared" si="1"/>
        <v>734.7800000000001</v>
      </c>
      <c r="J19" s="117">
        <f t="shared" si="1"/>
        <v>907.11</v>
      </c>
      <c r="K19" s="52">
        <f t="shared" si="1"/>
        <v>899.9999999999999</v>
      </c>
      <c r="L19" s="133">
        <f t="shared" si="1"/>
        <v>971.96</v>
      </c>
      <c r="M19" s="89">
        <f t="shared" si="1"/>
        <v>980.5999999999999</v>
      </c>
      <c r="N19" s="133">
        <f t="shared" si="1"/>
        <v>1207.78</v>
      </c>
      <c r="O19" s="89">
        <f>SUM(O7:O18)</f>
        <v>995.9199999999998</v>
      </c>
      <c r="P19" s="133">
        <f t="shared" si="1"/>
        <v>2467.23</v>
      </c>
      <c r="Q19" s="89">
        <f>SUM(Q7:Q18)</f>
        <v>1441.7999999999997</v>
      </c>
      <c r="R19" s="133">
        <f t="shared" si="1"/>
        <v>1799.9700000000003</v>
      </c>
      <c r="S19" s="89">
        <f>SUM(S7:S18)</f>
        <v>818.4000000000001</v>
      </c>
      <c r="T19" s="133">
        <f t="shared" si="1"/>
        <v>978.1</v>
      </c>
      <c r="U19" s="89">
        <f>SUM(U7:U18)</f>
        <v>397.59999999999997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U19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V10" sqref="V10"/>
    </sheetView>
  </sheetViews>
  <sheetFormatPr defaultColWidth="11.5546875" defaultRowHeight="15"/>
  <cols>
    <col min="1" max="1" width="14.3359375" style="3" bestFit="1" customWidth="1"/>
    <col min="2" max="2" width="8.88671875" style="8" customWidth="1"/>
    <col min="3" max="3" width="8.6640625" style="0" customWidth="1"/>
    <col min="4" max="4" width="8.88671875" style="8" customWidth="1"/>
    <col min="5" max="5" width="8.6640625" style="0" customWidth="1"/>
    <col min="6" max="6" width="9.88671875" style="0" customWidth="1"/>
    <col min="7" max="7" width="8.6640625" style="0" customWidth="1"/>
    <col min="8" max="8" width="10.3359375" style="111" bestFit="1" customWidth="1"/>
    <col min="9" max="9" width="8.6640625" style="0" customWidth="1"/>
    <col min="11" max="11" width="8.6640625" style="0" customWidth="1"/>
    <col min="12" max="12" width="9.88671875" style="0" customWidth="1"/>
    <col min="13" max="13" width="8.6640625" style="0" customWidth="1"/>
    <col min="14" max="17" width="9.6640625" style="0" bestFit="1" customWidth="1"/>
    <col min="18" max="18" width="10.3359375" style="0" customWidth="1"/>
    <col min="20" max="21" width="9.6640625" style="0" bestFit="1" customWidth="1"/>
    <col min="22" max="16384" width="8.6640625" style="0" customWidth="1"/>
  </cols>
  <sheetData>
    <row r="1" ht="15">
      <c r="A1" s="153" t="s">
        <v>32</v>
      </c>
    </row>
    <row r="2" ht="15.75" thickBot="1"/>
    <row r="3" spans="1:21" s="11" customFormat="1" ht="16.5">
      <c r="A3" s="156"/>
      <c r="B3" s="45">
        <v>1998</v>
      </c>
      <c r="C3" s="53"/>
      <c r="D3" s="26">
        <v>1999</v>
      </c>
      <c r="E3" s="28"/>
      <c r="F3" s="26">
        <v>2000</v>
      </c>
      <c r="G3" s="28"/>
      <c r="H3" s="118">
        <v>2001</v>
      </c>
      <c r="I3" s="53"/>
      <c r="J3" s="118" t="s">
        <v>33</v>
      </c>
      <c r="K3" s="53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5" customFormat="1" ht="15">
      <c r="A4" s="4"/>
      <c r="B4" s="32" t="s">
        <v>5</v>
      </c>
      <c r="C4" s="34"/>
      <c r="D4" s="29" t="s">
        <v>5</v>
      </c>
      <c r="E4" s="31"/>
      <c r="F4" s="29" t="s">
        <v>5</v>
      </c>
      <c r="G4" s="31"/>
      <c r="H4" s="112" t="s">
        <v>5</v>
      </c>
      <c r="I4" s="34"/>
      <c r="J4" s="112" t="s">
        <v>5</v>
      </c>
      <c r="K4" s="34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5" customFormat="1" ht="15">
      <c r="A5" s="4" t="s">
        <v>22</v>
      </c>
      <c r="B5" s="32" t="s">
        <v>8</v>
      </c>
      <c r="C5" s="34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112" t="s">
        <v>8</v>
      </c>
      <c r="I5" s="34" t="s">
        <v>7</v>
      </c>
      <c r="J5" s="112" t="s">
        <v>8</v>
      </c>
      <c r="K5" s="34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32"/>
      <c r="C6" s="34"/>
      <c r="D6" s="32"/>
      <c r="E6" s="34"/>
      <c r="F6" s="32"/>
      <c r="G6" s="34"/>
      <c r="H6" s="112"/>
      <c r="I6" s="34"/>
      <c r="J6" s="112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/>
      <c r="C7" s="43"/>
      <c r="D7" s="38">
        <v>53.39</v>
      </c>
      <c r="E7" s="41">
        <v>105.3</v>
      </c>
      <c r="F7" s="38">
        <v>304.31</v>
      </c>
      <c r="G7" s="41">
        <v>286.3</v>
      </c>
      <c r="H7" s="113">
        <v>150.89</v>
      </c>
      <c r="I7" s="83">
        <v>151.8</v>
      </c>
      <c r="J7" s="113">
        <v>248.8</v>
      </c>
      <c r="K7" s="83">
        <v>199.2</v>
      </c>
      <c r="L7" s="38">
        <v>342.5</v>
      </c>
      <c r="M7" s="43">
        <v>321.6</v>
      </c>
      <c r="N7" s="38">
        <v>259.15</v>
      </c>
      <c r="O7" s="43">
        <v>283.3</v>
      </c>
      <c r="P7" s="38">
        <v>175.12</v>
      </c>
      <c r="Q7" s="43">
        <v>108.3</v>
      </c>
      <c r="R7" s="38">
        <v>488.18</v>
      </c>
      <c r="S7" s="43">
        <v>232.8</v>
      </c>
      <c r="T7" s="38">
        <v>709.46</v>
      </c>
      <c r="U7" s="43">
        <v>288.4</v>
      </c>
    </row>
    <row r="8" spans="1:21" ht="15">
      <c r="A8" s="2" t="s">
        <v>10</v>
      </c>
      <c r="B8" s="35"/>
      <c r="C8" s="43"/>
      <c r="D8" s="38">
        <v>129.94</v>
      </c>
      <c r="E8" s="41">
        <v>256.4</v>
      </c>
      <c r="F8" s="38">
        <v>267.58</v>
      </c>
      <c r="G8" s="41">
        <v>273.4</v>
      </c>
      <c r="H8" s="114"/>
      <c r="I8" s="43"/>
      <c r="J8" s="114">
        <v>0</v>
      </c>
      <c r="K8" s="43">
        <v>0</v>
      </c>
      <c r="L8" s="38">
        <v>98.31</v>
      </c>
      <c r="M8" s="43">
        <v>104.7</v>
      </c>
      <c r="N8" s="38">
        <v>112.76</v>
      </c>
      <c r="O8" s="43">
        <v>102.6</v>
      </c>
      <c r="P8" s="38">
        <v>457.77</v>
      </c>
      <c r="Q8" s="43">
        <v>283.1</v>
      </c>
      <c r="R8" s="38">
        <v>519.01</v>
      </c>
      <c r="S8" s="43">
        <v>247.5</v>
      </c>
      <c r="T8" s="38">
        <v>977.11</v>
      </c>
      <c r="U8" s="43">
        <v>397.2</v>
      </c>
    </row>
    <row r="9" spans="1:21" ht="15">
      <c r="A9" s="2" t="s">
        <v>11</v>
      </c>
      <c r="B9" s="35"/>
      <c r="C9" s="43"/>
      <c r="D9" s="38">
        <v>133.17</v>
      </c>
      <c r="E9" s="41">
        <v>266.5</v>
      </c>
      <c r="F9" s="38">
        <v>0</v>
      </c>
      <c r="G9" s="41">
        <v>0</v>
      </c>
      <c r="H9" s="114"/>
      <c r="I9" s="43"/>
      <c r="J9" s="114">
        <v>199.9</v>
      </c>
      <c r="K9" s="43">
        <v>192.4</v>
      </c>
      <c r="L9" s="38">
        <v>151.65</v>
      </c>
      <c r="M9" s="43">
        <v>161.5</v>
      </c>
      <c r="N9" s="38">
        <v>222.55</v>
      </c>
      <c r="O9" s="43">
        <v>202.5</v>
      </c>
      <c r="P9" s="38">
        <f>270.36+382.74</f>
        <v>653.1</v>
      </c>
      <c r="Q9" s="43">
        <f>167.2+236.7</f>
        <v>403.9</v>
      </c>
      <c r="R9" s="38"/>
      <c r="S9" s="43"/>
      <c r="T9" s="38">
        <v>842.55</v>
      </c>
      <c r="U9" s="43">
        <v>342.5</v>
      </c>
    </row>
    <row r="10" spans="1:21" ht="15">
      <c r="A10" s="2" t="s">
        <v>23</v>
      </c>
      <c r="B10" s="35"/>
      <c r="C10" s="43"/>
      <c r="D10" s="38">
        <v>115.03</v>
      </c>
      <c r="E10" s="41">
        <v>194.4</v>
      </c>
      <c r="F10" s="38">
        <v>197.99</v>
      </c>
      <c r="G10" s="41">
        <v>213.6</v>
      </c>
      <c r="H10" s="114"/>
      <c r="I10" s="43"/>
      <c r="J10" s="114">
        <v>211.85</v>
      </c>
      <c r="K10" s="43">
        <v>203.9</v>
      </c>
      <c r="L10" s="38">
        <v>141.98</v>
      </c>
      <c r="M10" s="43">
        <v>151.2</v>
      </c>
      <c r="N10" s="38">
        <v>230.13</v>
      </c>
      <c r="O10" s="43">
        <v>209.4</v>
      </c>
      <c r="P10" s="38"/>
      <c r="Q10" s="43"/>
      <c r="R10" s="38">
        <v>760.37</v>
      </c>
      <c r="S10" s="43">
        <v>362.6</v>
      </c>
      <c r="T10" s="38">
        <v>726.68</v>
      </c>
      <c r="U10" s="43">
        <v>295.4</v>
      </c>
    </row>
    <row r="11" spans="1:21" ht="15">
      <c r="A11" s="2" t="s">
        <v>13</v>
      </c>
      <c r="B11" s="35"/>
      <c r="C11" s="43"/>
      <c r="D11" s="38"/>
      <c r="E11" s="41"/>
      <c r="F11" s="38">
        <v>0</v>
      </c>
      <c r="G11" s="41">
        <v>0</v>
      </c>
      <c r="H11" s="114"/>
      <c r="I11" s="43"/>
      <c r="J11" s="114">
        <v>0</v>
      </c>
      <c r="K11" s="43">
        <v>0</v>
      </c>
      <c r="L11" s="38">
        <v>148.64</v>
      </c>
      <c r="M11" s="43">
        <v>158.3</v>
      </c>
      <c r="N11" s="38"/>
      <c r="O11" s="43"/>
      <c r="P11" s="38">
        <v>280.71</v>
      </c>
      <c r="Q11" s="43">
        <v>173.3</v>
      </c>
      <c r="R11" s="38"/>
      <c r="S11" s="43"/>
      <c r="T11" s="38"/>
      <c r="U11" s="43"/>
    </row>
    <row r="12" spans="1:21" ht="15">
      <c r="A12" s="2" t="s">
        <v>14</v>
      </c>
      <c r="B12" s="35"/>
      <c r="C12" s="43"/>
      <c r="D12" s="38">
        <v>146.4</v>
      </c>
      <c r="E12" s="41">
        <v>248.3</v>
      </c>
      <c r="F12" s="38">
        <v>176.39</v>
      </c>
      <c r="G12" s="41">
        <v>183.8</v>
      </c>
      <c r="H12" s="114">
        <v>270.14</v>
      </c>
      <c r="I12" s="43">
        <v>260</v>
      </c>
      <c r="J12" s="114">
        <v>40.73</v>
      </c>
      <c r="K12" s="43">
        <v>39.2</v>
      </c>
      <c r="L12" s="38">
        <v>23.63</v>
      </c>
      <c r="M12" s="43">
        <v>21.5</v>
      </c>
      <c r="N12" s="38">
        <v>170.45</v>
      </c>
      <c r="O12" s="43">
        <v>155.1</v>
      </c>
      <c r="P12" s="38">
        <v>130.33</v>
      </c>
      <c r="Q12" s="43">
        <v>80.6</v>
      </c>
      <c r="R12" s="38">
        <v>408.29</v>
      </c>
      <c r="S12" s="43">
        <v>194.7</v>
      </c>
      <c r="T12" s="38"/>
      <c r="U12" s="43"/>
    </row>
    <row r="13" spans="1:21" ht="15">
      <c r="A13" s="2" t="s">
        <v>15</v>
      </c>
      <c r="B13" s="35"/>
      <c r="C13" s="43"/>
      <c r="D13" s="38"/>
      <c r="E13" s="41"/>
      <c r="F13" s="38">
        <v>0</v>
      </c>
      <c r="G13" s="41">
        <v>0</v>
      </c>
      <c r="H13" s="114"/>
      <c r="I13" s="43"/>
      <c r="J13" s="114">
        <v>0</v>
      </c>
      <c r="K13" s="43">
        <v>0</v>
      </c>
      <c r="L13" s="38"/>
      <c r="M13" s="43"/>
      <c r="N13" s="38"/>
      <c r="O13" s="43"/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/>
      <c r="C14" s="43"/>
      <c r="D14" s="38">
        <v>59.14</v>
      </c>
      <c r="E14" s="41">
        <v>80.6</v>
      </c>
      <c r="F14" s="38">
        <v>0</v>
      </c>
      <c r="G14" s="41">
        <v>0</v>
      </c>
      <c r="H14" s="114"/>
      <c r="I14" s="43"/>
      <c r="J14" s="114">
        <v>70.71</v>
      </c>
      <c r="K14" s="43">
        <v>75.3</v>
      </c>
      <c r="L14" s="38"/>
      <c r="M14" s="43"/>
      <c r="N14" s="38">
        <v>154.74</v>
      </c>
      <c r="O14" s="43">
        <v>140.8</v>
      </c>
      <c r="P14" s="38">
        <v>114.29</v>
      </c>
      <c r="Q14" s="43">
        <v>54.5</v>
      </c>
      <c r="R14" s="38">
        <v>183.76</v>
      </c>
      <c r="S14" s="43">
        <v>74.7</v>
      </c>
      <c r="T14" s="38"/>
      <c r="U14" s="43"/>
    </row>
    <row r="15" spans="1:21" ht="15">
      <c r="A15" s="2" t="s">
        <v>17</v>
      </c>
      <c r="B15" s="35"/>
      <c r="C15" s="43"/>
      <c r="D15" s="38"/>
      <c r="E15" s="41"/>
      <c r="F15" s="38">
        <v>0</v>
      </c>
      <c r="G15" s="41">
        <v>0</v>
      </c>
      <c r="H15" s="114"/>
      <c r="I15" s="43"/>
      <c r="J15" s="114">
        <v>0</v>
      </c>
      <c r="K15" s="43">
        <v>0</v>
      </c>
      <c r="L15" s="38">
        <v>63.19</v>
      </c>
      <c r="M15" s="43">
        <v>57.5</v>
      </c>
      <c r="N15" s="38"/>
      <c r="O15" s="43"/>
      <c r="P15" s="38"/>
      <c r="Q15" s="43"/>
      <c r="R15" s="38"/>
      <c r="S15" s="43"/>
      <c r="T15" s="38"/>
      <c r="U15" s="43"/>
    </row>
    <row r="16" spans="1:21" ht="15">
      <c r="A16" s="2" t="s">
        <v>18</v>
      </c>
      <c r="B16" s="35"/>
      <c r="C16" s="43"/>
      <c r="D16" s="38"/>
      <c r="E16" s="41"/>
      <c r="F16" s="38">
        <v>0</v>
      </c>
      <c r="G16" s="41">
        <v>0</v>
      </c>
      <c r="H16" s="114">
        <v>85.93</v>
      </c>
      <c r="I16" s="43">
        <v>82.7</v>
      </c>
      <c r="J16" s="114">
        <v>132.31</v>
      </c>
      <c r="K16" s="43">
        <v>140.9</v>
      </c>
      <c r="L16" s="38">
        <v>195</v>
      </c>
      <c r="M16" s="43">
        <v>214.31</v>
      </c>
      <c r="N16" s="38">
        <v>269.29</v>
      </c>
      <c r="O16" s="43">
        <v>150.4</v>
      </c>
      <c r="P16" s="38">
        <v>343.28</v>
      </c>
      <c r="Q16" s="43">
        <v>163.7</v>
      </c>
      <c r="R16" s="38"/>
      <c r="S16" s="43"/>
      <c r="T16" s="38"/>
      <c r="U16" s="43"/>
    </row>
    <row r="17" spans="1:21" ht="15">
      <c r="A17" s="2" t="s">
        <v>19</v>
      </c>
      <c r="B17" s="35">
        <v>209.07</v>
      </c>
      <c r="C17" s="43">
        <v>384.3</v>
      </c>
      <c r="D17" s="38"/>
      <c r="E17" s="41"/>
      <c r="F17" s="38">
        <v>298.6</v>
      </c>
      <c r="G17" s="41">
        <v>300.4</v>
      </c>
      <c r="H17" s="114">
        <v>165.62</v>
      </c>
      <c r="I17" s="43">
        <v>159.4</v>
      </c>
      <c r="J17" s="114">
        <v>167.8</v>
      </c>
      <c r="K17" s="43">
        <v>178.7</v>
      </c>
      <c r="L17" s="38">
        <v>153.2</v>
      </c>
      <c r="M17" s="43">
        <v>139.4</v>
      </c>
      <c r="N17" s="38">
        <v>317.26</v>
      </c>
      <c r="O17" s="43">
        <v>196.2</v>
      </c>
      <c r="P17" s="38">
        <v>459.25</v>
      </c>
      <c r="Q17" s="43">
        <v>219</v>
      </c>
      <c r="R17" s="38">
        <v>911.92</v>
      </c>
      <c r="S17" s="43">
        <v>370.7</v>
      </c>
      <c r="T17" s="38"/>
      <c r="U17" s="43"/>
    </row>
    <row r="18" spans="1:21" ht="15.75" thickBot="1">
      <c r="A18" s="2" t="s">
        <v>20</v>
      </c>
      <c r="B18" s="99">
        <v>101.23</v>
      </c>
      <c r="C18" s="86">
        <v>199.8</v>
      </c>
      <c r="D18" s="38">
        <v>76.52</v>
      </c>
      <c r="E18" s="41">
        <v>81.5</v>
      </c>
      <c r="F18" s="38">
        <v>243.63</v>
      </c>
      <c r="G18" s="41">
        <v>245.1</v>
      </c>
      <c r="H18" s="114"/>
      <c r="I18" s="43"/>
      <c r="J18" s="114">
        <v>126.39</v>
      </c>
      <c r="K18" s="43">
        <v>134.6</v>
      </c>
      <c r="L18" s="38">
        <v>215.73</v>
      </c>
      <c r="M18" s="43">
        <v>196.3</v>
      </c>
      <c r="N18" s="38">
        <v>415.25</v>
      </c>
      <c r="O18" s="43">
        <v>256.8</v>
      </c>
      <c r="P18" s="38">
        <v>530.33</v>
      </c>
      <c r="Q18" s="43">
        <v>252.9</v>
      </c>
      <c r="R18" s="38">
        <v>875.27</v>
      </c>
      <c r="S18" s="43">
        <v>355.8</v>
      </c>
      <c r="T18" s="38"/>
      <c r="U18" s="43"/>
    </row>
    <row r="19" spans="1:21" s="1" customFormat="1" ht="15.75" thickBot="1">
      <c r="A19" s="2" t="s">
        <v>21</v>
      </c>
      <c r="B19" s="37">
        <f aca="true" t="shared" si="0" ref="B19:G19">SUM(B7:B18)</f>
        <v>310.3</v>
      </c>
      <c r="C19" s="52">
        <f t="shared" si="0"/>
        <v>584.1</v>
      </c>
      <c r="D19" s="93">
        <f t="shared" si="0"/>
        <v>713.5899999999999</v>
      </c>
      <c r="E19" s="94">
        <f t="shared" si="0"/>
        <v>1233</v>
      </c>
      <c r="F19" s="93">
        <f t="shared" si="0"/>
        <v>1488.5</v>
      </c>
      <c r="G19" s="94">
        <f t="shared" si="0"/>
        <v>1502.6</v>
      </c>
      <c r="H19" s="117">
        <f aca="true" t="shared" si="1" ref="H19:U19">SUM(H7:H18)</f>
        <v>672.5799999999999</v>
      </c>
      <c r="I19" s="52">
        <f t="shared" si="1"/>
        <v>653.9</v>
      </c>
      <c r="J19" s="117">
        <f t="shared" si="1"/>
        <v>1198.4900000000002</v>
      </c>
      <c r="K19" s="52">
        <f t="shared" si="1"/>
        <v>1164.1999999999998</v>
      </c>
      <c r="L19" s="133">
        <f t="shared" si="1"/>
        <v>1533.8300000000002</v>
      </c>
      <c r="M19" s="89">
        <f t="shared" si="1"/>
        <v>1526.31</v>
      </c>
      <c r="N19" s="133">
        <f>SUM(N7:N18)</f>
        <v>2151.58</v>
      </c>
      <c r="O19" s="89">
        <f t="shared" si="1"/>
        <v>1697.1000000000001</v>
      </c>
      <c r="P19" s="133">
        <f>SUM(P7:P18)</f>
        <v>3144.18</v>
      </c>
      <c r="Q19" s="89">
        <f t="shared" si="1"/>
        <v>1739.3</v>
      </c>
      <c r="R19" s="133">
        <f>SUM(R7:R18)</f>
        <v>4146.799999999999</v>
      </c>
      <c r="S19" s="89">
        <f t="shared" si="1"/>
        <v>1838.8000000000002</v>
      </c>
      <c r="T19" s="133">
        <f>SUM(T7:T18)</f>
        <v>3255.7999999999997</v>
      </c>
      <c r="U19" s="89">
        <f t="shared" si="1"/>
        <v>1323.5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U19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V10" sqref="V10"/>
    </sheetView>
  </sheetViews>
  <sheetFormatPr defaultColWidth="11.5546875" defaultRowHeight="15"/>
  <cols>
    <col min="1" max="1" width="14.3359375" style="3" bestFit="1" customWidth="1"/>
    <col min="2" max="2" width="8.88671875" style="8" customWidth="1"/>
    <col min="3" max="3" width="8.88671875" style="160" customWidth="1"/>
    <col min="4" max="4" width="10.6640625" style="8" customWidth="1"/>
    <col min="5" max="5" width="8.6640625" style="0" customWidth="1"/>
    <col min="6" max="6" width="9.4453125" style="0" customWidth="1"/>
    <col min="7" max="11" width="8.6640625" style="0" customWidth="1"/>
    <col min="12" max="12" width="10.10546875" style="0" customWidth="1"/>
    <col min="13" max="13" width="8.6640625" style="0" customWidth="1"/>
    <col min="14" max="14" width="10.3359375" style="0" customWidth="1"/>
    <col min="15" max="15" width="8.6640625" style="0" customWidth="1"/>
    <col min="16" max="16" width="9.6640625" style="0" bestFit="1" customWidth="1"/>
    <col min="17" max="17" width="8.6640625" style="0" customWidth="1"/>
    <col min="18" max="18" width="10.99609375" style="0" customWidth="1"/>
    <col min="19" max="19" width="8.6640625" style="0" customWidth="1"/>
    <col min="20" max="20" width="9.6640625" style="0" bestFit="1" customWidth="1"/>
    <col min="21" max="16384" width="8.6640625" style="0" customWidth="1"/>
  </cols>
  <sheetData>
    <row r="1" ht="15">
      <c r="A1" s="153" t="s">
        <v>32</v>
      </c>
    </row>
    <row r="2" ht="15.75" thickBot="1"/>
    <row r="3" spans="1:21" s="11" customFormat="1" ht="16.5">
      <c r="A3" s="156"/>
      <c r="B3" s="45">
        <v>1998</v>
      </c>
      <c r="C3" s="161"/>
      <c r="D3" s="26">
        <v>1999</v>
      </c>
      <c r="E3" s="28"/>
      <c r="F3" s="26">
        <v>2000</v>
      </c>
      <c r="G3" s="28"/>
      <c r="H3" s="45">
        <v>2001</v>
      </c>
      <c r="I3" s="53"/>
      <c r="J3" s="45">
        <v>2002</v>
      </c>
      <c r="K3" s="53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5" customFormat="1" ht="15">
      <c r="A4" s="4"/>
      <c r="B4" s="32" t="s">
        <v>5</v>
      </c>
      <c r="C4" s="162"/>
      <c r="D4" s="29" t="s">
        <v>5</v>
      </c>
      <c r="E4" s="31"/>
      <c r="F4" s="29" t="s">
        <v>5</v>
      </c>
      <c r="G4" s="31"/>
      <c r="H4" s="81" t="s">
        <v>5</v>
      </c>
      <c r="I4" s="34"/>
      <c r="J4" s="81" t="s">
        <v>5</v>
      </c>
      <c r="K4" s="34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5" customFormat="1" ht="15">
      <c r="A5" s="4" t="s">
        <v>22</v>
      </c>
      <c r="B5" s="32" t="s">
        <v>8</v>
      </c>
      <c r="C5" s="162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81" t="s">
        <v>8</v>
      </c>
      <c r="I5" s="34" t="s">
        <v>7</v>
      </c>
      <c r="J5" s="81" t="s">
        <v>8</v>
      </c>
      <c r="K5" s="34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32"/>
      <c r="C6" s="162"/>
      <c r="D6" s="32"/>
      <c r="E6" s="34"/>
      <c r="F6" s="32"/>
      <c r="G6" s="34"/>
      <c r="H6" s="81"/>
      <c r="I6" s="34"/>
      <c r="J6" s="81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/>
      <c r="C7" s="163"/>
      <c r="D7" s="38">
        <v>194.92</v>
      </c>
      <c r="E7" s="41">
        <v>373.8</v>
      </c>
      <c r="F7" s="38">
        <v>245.34</v>
      </c>
      <c r="G7" s="41">
        <v>281</v>
      </c>
      <c r="H7" s="97">
        <v>374.34</v>
      </c>
      <c r="I7" s="43">
        <v>376.6</v>
      </c>
      <c r="J7" s="97">
        <v>281.78</v>
      </c>
      <c r="K7" s="43">
        <v>271.2</v>
      </c>
      <c r="L7" s="38">
        <v>419.92</v>
      </c>
      <c r="M7" s="43">
        <v>447.2</v>
      </c>
      <c r="N7" s="38">
        <v>312.89</v>
      </c>
      <c r="O7" s="43">
        <v>285.7</v>
      </c>
      <c r="P7" s="38">
        <v>406.03</v>
      </c>
      <c r="Q7" s="43">
        <v>251.1</v>
      </c>
      <c r="R7" s="38">
        <v>610.65</v>
      </c>
      <c r="S7" s="43">
        <v>291.2</v>
      </c>
      <c r="T7" s="38">
        <v>727.42</v>
      </c>
      <c r="U7" s="43">
        <v>295.7</v>
      </c>
    </row>
    <row r="8" spans="1:21" ht="15">
      <c r="A8" s="2" t="s">
        <v>10</v>
      </c>
      <c r="B8" s="35"/>
      <c r="C8" s="163"/>
      <c r="D8" s="38">
        <v>184.09</v>
      </c>
      <c r="E8" s="41">
        <v>384</v>
      </c>
      <c r="F8" s="38">
        <v>289.3</v>
      </c>
      <c r="G8" s="41">
        <v>430.88</v>
      </c>
      <c r="H8" s="90"/>
      <c r="I8" s="43"/>
      <c r="J8" s="90">
        <v>328.43</v>
      </c>
      <c r="K8" s="43">
        <v>316.1</v>
      </c>
      <c r="L8" s="38">
        <v>254.47</v>
      </c>
      <c r="M8" s="43">
        <v>271</v>
      </c>
      <c r="N8" s="38">
        <v>331.9</v>
      </c>
      <c r="O8" s="43">
        <v>302</v>
      </c>
      <c r="P8" s="38">
        <v>467.31</v>
      </c>
      <c r="Q8" s="43">
        <v>289</v>
      </c>
      <c r="R8" s="38">
        <v>660.35</v>
      </c>
      <c r="S8" s="43">
        <v>314.9</v>
      </c>
      <c r="T8" s="38">
        <v>848.7</v>
      </c>
      <c r="U8" s="43">
        <v>345</v>
      </c>
    </row>
    <row r="9" spans="1:21" ht="15">
      <c r="A9" s="2" t="s">
        <v>11</v>
      </c>
      <c r="B9" s="35"/>
      <c r="C9" s="163"/>
      <c r="D9" s="38">
        <v>281.43</v>
      </c>
      <c r="E9" s="41">
        <v>525</v>
      </c>
      <c r="F9" s="38">
        <v>361.69</v>
      </c>
      <c r="G9" s="41">
        <v>344.5</v>
      </c>
      <c r="H9" s="90">
        <v>286.77</v>
      </c>
      <c r="I9" s="43">
        <v>288.5</v>
      </c>
      <c r="J9" s="90">
        <v>341.83</v>
      </c>
      <c r="K9" s="43">
        <v>329</v>
      </c>
      <c r="L9" s="38">
        <v>264.61</v>
      </c>
      <c r="M9" s="43">
        <v>281.8</v>
      </c>
      <c r="N9" s="38">
        <v>377.07</v>
      </c>
      <c r="O9" s="43">
        <v>343.1</v>
      </c>
      <c r="P9" s="38">
        <f>578.89+525.53</f>
        <v>1104.42</v>
      </c>
      <c r="Q9" s="43">
        <f>358+325</f>
        <v>683</v>
      </c>
      <c r="R9" s="38">
        <v>662.65</v>
      </c>
      <c r="S9" s="43">
        <v>316</v>
      </c>
      <c r="T9" s="38">
        <v>816.47</v>
      </c>
      <c r="U9" s="43">
        <v>331.9</v>
      </c>
    </row>
    <row r="10" spans="1:21" ht="15">
      <c r="A10" s="2" t="s">
        <v>23</v>
      </c>
      <c r="B10" s="35"/>
      <c r="C10" s="163"/>
      <c r="D10" s="38">
        <v>251.56</v>
      </c>
      <c r="E10" s="41">
        <v>413</v>
      </c>
      <c r="F10" s="38">
        <v>340.08</v>
      </c>
      <c r="G10" s="41">
        <v>366.9</v>
      </c>
      <c r="H10" s="90">
        <v>388.24</v>
      </c>
      <c r="I10" s="43">
        <v>323.8</v>
      </c>
      <c r="J10" s="90">
        <v>327.81</v>
      </c>
      <c r="K10" s="43">
        <v>342.7</v>
      </c>
      <c r="L10" s="38">
        <v>310.81</v>
      </c>
      <c r="M10" s="43">
        <v>331</v>
      </c>
      <c r="N10" s="38">
        <v>416.08</v>
      </c>
      <c r="O10" s="43">
        <v>378.6</v>
      </c>
      <c r="P10" s="38"/>
      <c r="Q10" s="43"/>
      <c r="R10" s="38">
        <v>748.84</v>
      </c>
      <c r="S10" s="43">
        <v>357.1</v>
      </c>
      <c r="T10" s="38">
        <v>938.24</v>
      </c>
      <c r="U10" s="43">
        <v>381.4</v>
      </c>
    </row>
    <row r="11" spans="1:21" ht="15">
      <c r="A11" s="2" t="s">
        <v>13</v>
      </c>
      <c r="B11" s="35"/>
      <c r="C11" s="163"/>
      <c r="D11" s="38"/>
      <c r="E11" s="41"/>
      <c r="F11" s="38">
        <v>0</v>
      </c>
      <c r="G11" s="41">
        <v>0</v>
      </c>
      <c r="H11" s="90">
        <v>374.04</v>
      </c>
      <c r="I11" s="43">
        <v>360</v>
      </c>
      <c r="J11" s="90">
        <v>295.39</v>
      </c>
      <c r="K11" s="43">
        <v>284.3</v>
      </c>
      <c r="L11" s="38">
        <v>342.55</v>
      </c>
      <c r="M11" s="43">
        <v>364.8</v>
      </c>
      <c r="N11" s="38"/>
      <c r="O11" s="43"/>
      <c r="P11" s="38">
        <v>674.29</v>
      </c>
      <c r="Q11" s="43">
        <v>417</v>
      </c>
      <c r="R11" s="38"/>
      <c r="S11" s="43"/>
      <c r="T11" s="38"/>
      <c r="U11" s="43"/>
    </row>
    <row r="12" spans="1:21" ht="15">
      <c r="A12" s="2" t="s">
        <v>14</v>
      </c>
      <c r="B12" s="35"/>
      <c r="C12" s="163"/>
      <c r="D12" s="38">
        <v>214.08</v>
      </c>
      <c r="E12" s="41">
        <v>363.1</v>
      </c>
      <c r="F12" s="38">
        <v>421.27</v>
      </c>
      <c r="G12" s="41">
        <v>433</v>
      </c>
      <c r="H12" s="90">
        <v>99.02</v>
      </c>
      <c r="I12" s="43">
        <v>95.3</v>
      </c>
      <c r="J12" s="90">
        <v>115.33</v>
      </c>
      <c r="K12" s="43">
        <v>111</v>
      </c>
      <c r="L12" s="38">
        <v>51.87</v>
      </c>
      <c r="M12" s="43">
        <v>47.2</v>
      </c>
      <c r="N12" s="38">
        <f>454.33+48.58</f>
        <v>502.90999999999997</v>
      </c>
      <c r="O12" s="43">
        <f>413.4+44.2</f>
        <v>457.59999999999997</v>
      </c>
      <c r="P12" s="38">
        <v>242.71</v>
      </c>
      <c r="Q12" s="43">
        <v>150.1</v>
      </c>
      <c r="R12" s="38">
        <v>513.97</v>
      </c>
      <c r="S12" s="43">
        <v>245.1</v>
      </c>
      <c r="T12" s="38"/>
      <c r="U12" s="43"/>
    </row>
    <row r="13" spans="1:21" ht="15">
      <c r="A13" s="2" t="s">
        <v>15</v>
      </c>
      <c r="B13" s="35"/>
      <c r="C13" s="163"/>
      <c r="D13" s="38"/>
      <c r="E13" s="41"/>
      <c r="F13" s="38">
        <v>0</v>
      </c>
      <c r="G13" s="41">
        <v>0</v>
      </c>
      <c r="H13" s="90"/>
      <c r="I13" s="43"/>
      <c r="J13" s="90">
        <v>0</v>
      </c>
      <c r="K13" s="43">
        <v>0</v>
      </c>
      <c r="L13" s="38"/>
      <c r="M13" s="43"/>
      <c r="N13" s="38"/>
      <c r="O13" s="43"/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/>
      <c r="C14" s="163"/>
      <c r="D14" s="38">
        <v>141.9</v>
      </c>
      <c r="E14" s="41">
        <v>193.4</v>
      </c>
      <c r="F14" s="38">
        <v>132.7</v>
      </c>
      <c r="G14" s="41">
        <v>133.5</v>
      </c>
      <c r="H14" s="90">
        <v>179.33</v>
      </c>
      <c r="I14" s="43">
        <v>172.6</v>
      </c>
      <c r="J14" s="90">
        <v>214.37</v>
      </c>
      <c r="K14" s="43">
        <v>228.3</v>
      </c>
      <c r="L14" s="38"/>
      <c r="M14" s="43"/>
      <c r="N14" s="38">
        <v>291.24</v>
      </c>
      <c r="O14" s="43">
        <v>265</v>
      </c>
      <c r="P14" s="38">
        <v>422.86</v>
      </c>
      <c r="Q14" s="43">
        <v>201.7</v>
      </c>
      <c r="R14" s="38">
        <v>434.44</v>
      </c>
      <c r="S14" s="43">
        <v>176.6</v>
      </c>
      <c r="T14" s="38"/>
      <c r="U14" s="43"/>
    </row>
    <row r="15" spans="1:21" ht="15">
      <c r="A15" s="2" t="s">
        <v>17</v>
      </c>
      <c r="B15" s="35"/>
      <c r="C15" s="163"/>
      <c r="D15" s="38"/>
      <c r="E15" s="41"/>
      <c r="F15" s="38">
        <v>0</v>
      </c>
      <c r="G15" s="41">
        <v>0</v>
      </c>
      <c r="H15" s="90"/>
      <c r="I15" s="43"/>
      <c r="J15" s="90">
        <v>0</v>
      </c>
      <c r="K15" s="43">
        <v>0</v>
      </c>
      <c r="L15" s="38">
        <v>290.29</v>
      </c>
      <c r="M15" s="43">
        <v>264.5</v>
      </c>
      <c r="N15" s="38"/>
      <c r="O15" s="43"/>
      <c r="P15" s="38"/>
      <c r="Q15" s="43"/>
      <c r="R15" s="38"/>
      <c r="S15" s="43"/>
      <c r="T15" s="38"/>
      <c r="U15" s="43"/>
    </row>
    <row r="16" spans="1:21" ht="15">
      <c r="A16" s="2" t="s">
        <v>18</v>
      </c>
      <c r="B16" s="35">
        <v>163.14</v>
      </c>
      <c r="C16" s="163">
        <v>317.4</v>
      </c>
      <c r="D16" s="38">
        <v>173.36</v>
      </c>
      <c r="E16" s="41">
        <v>227</v>
      </c>
      <c r="F16" s="38">
        <v>223.55</v>
      </c>
      <c r="G16" s="41">
        <v>224.9</v>
      </c>
      <c r="H16" s="90">
        <v>177.67</v>
      </c>
      <c r="I16" s="43">
        <v>171</v>
      </c>
      <c r="J16" s="90">
        <v>326.3</v>
      </c>
      <c r="K16" s="43">
        <v>347.5</v>
      </c>
      <c r="L16" s="38">
        <v>325.63</v>
      </c>
      <c r="M16" s="43">
        <v>296.3</v>
      </c>
      <c r="N16" s="38">
        <v>568.66</v>
      </c>
      <c r="O16" s="43">
        <v>317.6</v>
      </c>
      <c r="P16" s="38">
        <v>665.8</v>
      </c>
      <c r="Q16" s="43">
        <v>317.5</v>
      </c>
      <c r="R16" s="38">
        <v>978.83</v>
      </c>
      <c r="S16" s="43">
        <v>397.9</v>
      </c>
      <c r="T16" s="38"/>
      <c r="U16" s="43"/>
    </row>
    <row r="17" spans="1:21" ht="15">
      <c r="A17" s="2" t="s">
        <v>19</v>
      </c>
      <c r="B17" s="35">
        <v>218</v>
      </c>
      <c r="C17" s="163">
        <v>406.9</v>
      </c>
      <c r="D17" s="38">
        <v>143.69</v>
      </c>
      <c r="E17" s="41">
        <v>185.6</v>
      </c>
      <c r="F17" s="38">
        <v>228.02</v>
      </c>
      <c r="G17" s="41">
        <v>229.4</v>
      </c>
      <c r="H17" s="90">
        <v>265.05</v>
      </c>
      <c r="I17" s="43">
        <v>255.1</v>
      </c>
      <c r="J17" s="90">
        <v>255.41</v>
      </c>
      <c r="K17" s="43">
        <v>272</v>
      </c>
      <c r="L17" s="38">
        <v>354.1</v>
      </c>
      <c r="M17" s="43">
        <v>322.2</v>
      </c>
      <c r="N17" s="38">
        <v>527.47</v>
      </c>
      <c r="O17" s="43">
        <v>326.2</v>
      </c>
      <c r="P17" s="38">
        <v>610.86</v>
      </c>
      <c r="Q17" s="43">
        <v>291.3</v>
      </c>
      <c r="R17" s="38">
        <v>782.03</v>
      </c>
      <c r="S17" s="43">
        <v>317.9</v>
      </c>
      <c r="T17" s="38"/>
      <c r="U17" s="43"/>
    </row>
    <row r="18" spans="1:21" ht="15.75" thickBot="1">
      <c r="A18" s="2" t="s">
        <v>20</v>
      </c>
      <c r="B18" s="99">
        <v>180.92</v>
      </c>
      <c r="C18" s="164">
        <v>365.5</v>
      </c>
      <c r="D18" s="38">
        <v>374.5</v>
      </c>
      <c r="E18" s="41">
        <v>0</v>
      </c>
      <c r="F18" s="38">
        <v>478.81</v>
      </c>
      <c r="G18" s="41">
        <v>481.7</v>
      </c>
      <c r="H18" s="90">
        <v>299.75</v>
      </c>
      <c r="I18" s="43">
        <v>288.5</v>
      </c>
      <c r="J18" s="90">
        <v>225.36</v>
      </c>
      <c r="K18" s="43">
        <v>240</v>
      </c>
      <c r="L18" s="38">
        <v>353.88</v>
      </c>
      <c r="M18" s="43">
        <v>322</v>
      </c>
      <c r="N18" s="38">
        <v>527.14</v>
      </c>
      <c r="O18" s="43">
        <v>326</v>
      </c>
      <c r="P18" s="38">
        <v>642.52</v>
      </c>
      <c r="Q18" s="43">
        <v>306.4</v>
      </c>
      <c r="R18" s="38">
        <v>971.21</v>
      </c>
      <c r="S18" s="43">
        <v>394.8</v>
      </c>
      <c r="T18" s="38"/>
      <c r="U18" s="43"/>
    </row>
    <row r="19" spans="1:21" s="1" customFormat="1" ht="15.75" thickBot="1">
      <c r="A19" s="2" t="s">
        <v>21</v>
      </c>
      <c r="B19" s="37">
        <f aca="true" t="shared" si="0" ref="B19:G19">SUM(B7:B18)</f>
        <v>562.06</v>
      </c>
      <c r="C19" s="165">
        <f t="shared" si="0"/>
        <v>1089.8</v>
      </c>
      <c r="D19" s="39">
        <f t="shared" si="0"/>
        <v>1959.5300000000002</v>
      </c>
      <c r="E19" s="42">
        <f t="shared" si="0"/>
        <v>2664.9</v>
      </c>
      <c r="F19" s="39">
        <f t="shared" si="0"/>
        <v>2720.7599999999998</v>
      </c>
      <c r="G19" s="42">
        <f t="shared" si="0"/>
        <v>2925.78</v>
      </c>
      <c r="H19" s="98">
        <f aca="true" t="shared" si="1" ref="H19:M19">SUM(H7:H18)</f>
        <v>2444.21</v>
      </c>
      <c r="I19" s="52">
        <f t="shared" si="1"/>
        <v>2331.3999999999996</v>
      </c>
      <c r="J19" s="98">
        <f t="shared" si="1"/>
        <v>2712.0099999999998</v>
      </c>
      <c r="K19" s="52">
        <f t="shared" si="1"/>
        <v>2742.1</v>
      </c>
      <c r="L19" s="133">
        <f t="shared" si="1"/>
        <v>2968.1299999999997</v>
      </c>
      <c r="M19" s="89">
        <f t="shared" si="1"/>
        <v>2948</v>
      </c>
      <c r="N19" s="133">
        <f aca="true" t="shared" si="2" ref="N19:S19">SUM(N7:N18)</f>
        <v>3855.36</v>
      </c>
      <c r="O19" s="89">
        <f t="shared" si="2"/>
        <v>3001.7999999999997</v>
      </c>
      <c r="P19" s="133">
        <f t="shared" si="2"/>
        <v>5236.799999999999</v>
      </c>
      <c r="Q19" s="89">
        <f t="shared" si="2"/>
        <v>2907.1</v>
      </c>
      <c r="R19" s="133">
        <f t="shared" si="2"/>
        <v>6362.97</v>
      </c>
      <c r="S19" s="89">
        <f t="shared" si="2"/>
        <v>2811.5</v>
      </c>
      <c r="T19" s="133">
        <f>SUM(T7:T18)</f>
        <v>3330.83</v>
      </c>
      <c r="U19" s="89">
        <f>SUM(U7:U18)</f>
        <v>1354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U19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V10" sqref="V10"/>
    </sheetView>
  </sheetViews>
  <sheetFormatPr defaultColWidth="11.5546875" defaultRowHeight="15"/>
  <cols>
    <col min="1" max="1" width="13.6640625" style="3" bestFit="1" customWidth="1"/>
    <col min="2" max="2" width="8.88671875" style="8" customWidth="1"/>
    <col min="3" max="3" width="8.6640625" style="0" customWidth="1"/>
    <col min="4" max="4" width="9.6640625" style="8" customWidth="1"/>
    <col min="5" max="6" width="9.4453125" style="0" customWidth="1"/>
    <col min="7" max="7" width="8.6640625" style="0" customWidth="1"/>
    <col min="8" max="8" width="10.3359375" style="111" bestFit="1" customWidth="1"/>
    <col min="9" max="9" width="8.6640625" style="0" customWidth="1"/>
    <col min="10" max="10" width="10.10546875" style="0" customWidth="1"/>
    <col min="11" max="11" width="8.6640625" style="0" customWidth="1"/>
    <col min="12" max="12" width="10.3359375" style="0" customWidth="1"/>
    <col min="13" max="13" width="8.6640625" style="0" customWidth="1"/>
    <col min="14" max="14" width="9.4453125" style="0" customWidth="1"/>
    <col min="15" max="15" width="8.6640625" style="0" customWidth="1"/>
    <col min="16" max="16" width="9.6640625" style="0" customWidth="1"/>
    <col min="17" max="17" width="8.6640625" style="0" customWidth="1"/>
    <col min="18" max="18" width="9.6640625" style="0" customWidth="1"/>
    <col min="19" max="19" width="8.6640625" style="0" customWidth="1"/>
    <col min="20" max="20" width="9.6640625" style="0" bestFit="1" customWidth="1"/>
    <col min="21" max="16384" width="8.6640625" style="0" customWidth="1"/>
  </cols>
  <sheetData>
    <row r="1" ht="15">
      <c r="A1" s="153" t="s">
        <v>29</v>
      </c>
    </row>
    <row r="2" ht="15.75" thickBot="1"/>
    <row r="3" spans="1:21" s="11" customFormat="1" ht="16.5">
      <c r="A3" s="156"/>
      <c r="B3" s="45">
        <v>1998</v>
      </c>
      <c r="C3" s="53"/>
      <c r="D3" s="26">
        <v>1999</v>
      </c>
      <c r="E3" s="28"/>
      <c r="F3" s="26">
        <v>2000</v>
      </c>
      <c r="G3" s="28"/>
      <c r="H3" s="118">
        <v>2001</v>
      </c>
      <c r="I3" s="53"/>
      <c r="J3" s="118" t="s">
        <v>33</v>
      </c>
      <c r="K3" s="53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2:21" s="5" customFormat="1" ht="15">
      <c r="B4" s="32" t="s">
        <v>5</v>
      </c>
      <c r="C4" s="34"/>
      <c r="D4" s="29" t="s">
        <v>5</v>
      </c>
      <c r="E4" s="31"/>
      <c r="F4" s="29" t="s">
        <v>5</v>
      </c>
      <c r="G4" s="31"/>
      <c r="H4" s="112" t="s">
        <v>5</v>
      </c>
      <c r="I4" s="34"/>
      <c r="J4" s="112" t="s">
        <v>5</v>
      </c>
      <c r="K4" s="34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5" customFormat="1" ht="15">
      <c r="A5" s="4" t="s">
        <v>22</v>
      </c>
      <c r="B5" s="32" t="s">
        <v>8</v>
      </c>
      <c r="C5" s="34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112" t="s">
        <v>8</v>
      </c>
      <c r="I5" s="34" t="s">
        <v>7</v>
      </c>
      <c r="J5" s="112" t="s">
        <v>8</v>
      </c>
      <c r="K5" s="34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32"/>
      <c r="C6" s="34"/>
      <c r="D6" s="32"/>
      <c r="E6" s="34"/>
      <c r="F6" s="32"/>
      <c r="G6" s="34"/>
      <c r="H6" s="112"/>
      <c r="I6" s="34"/>
      <c r="J6" s="112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/>
      <c r="C7" s="43"/>
      <c r="D7" s="38">
        <v>125.58</v>
      </c>
      <c r="E7" s="41">
        <v>235</v>
      </c>
      <c r="F7" s="38">
        <v>148.25</v>
      </c>
      <c r="G7" s="41">
        <v>169.8</v>
      </c>
      <c r="H7" s="113">
        <v>173.15</v>
      </c>
      <c r="I7" s="83">
        <v>174.2</v>
      </c>
      <c r="J7" s="113">
        <v>295.7</v>
      </c>
      <c r="K7" s="83">
        <v>284.6</v>
      </c>
      <c r="L7" s="38">
        <v>251.37</v>
      </c>
      <c r="M7" s="43">
        <v>267</v>
      </c>
      <c r="N7" s="38">
        <v>288.48</v>
      </c>
      <c r="O7" s="43">
        <v>262.5</v>
      </c>
      <c r="P7" s="38">
        <f>141.65+114.48</f>
        <v>256.13</v>
      </c>
      <c r="Q7" s="43">
        <f>87.6+70.8</f>
        <v>158.39999999999998</v>
      </c>
      <c r="R7" s="38">
        <v>131.9</v>
      </c>
      <c r="S7" s="43">
        <v>62.9</v>
      </c>
      <c r="T7" s="38">
        <v>176.14</v>
      </c>
      <c r="U7" s="43">
        <v>71.6</v>
      </c>
    </row>
    <row r="8" spans="1:21" ht="15">
      <c r="A8" s="2" t="s">
        <v>10</v>
      </c>
      <c r="B8" s="35"/>
      <c r="C8" s="43"/>
      <c r="D8" s="38">
        <v>165.21</v>
      </c>
      <c r="E8" s="41">
        <v>348.1</v>
      </c>
      <c r="F8" s="38">
        <v>393.05</v>
      </c>
      <c r="G8" s="41">
        <v>263.9</v>
      </c>
      <c r="H8" s="113">
        <v>287.86</v>
      </c>
      <c r="I8" s="83">
        <v>289.6</v>
      </c>
      <c r="J8" s="113">
        <v>0</v>
      </c>
      <c r="K8" s="83">
        <v>0</v>
      </c>
      <c r="L8" s="38">
        <v>186.77</v>
      </c>
      <c r="M8" s="43">
        <v>198.9</v>
      </c>
      <c r="N8" s="38">
        <v>291.23</v>
      </c>
      <c r="O8" s="43">
        <v>265</v>
      </c>
      <c r="P8" s="38">
        <v>88.61</v>
      </c>
      <c r="Q8" s="43">
        <v>54.8</v>
      </c>
      <c r="R8" s="38">
        <v>353.35</v>
      </c>
      <c r="S8" s="43">
        <v>168.5</v>
      </c>
      <c r="T8" s="38">
        <f>208.61+168.76</f>
        <v>377.37</v>
      </c>
      <c r="U8" s="43">
        <f>84.8+68.6</f>
        <v>153.39999999999998</v>
      </c>
    </row>
    <row r="9" spans="1:21" ht="15">
      <c r="A9" s="2" t="s">
        <v>11</v>
      </c>
      <c r="B9" s="35"/>
      <c r="C9" s="43"/>
      <c r="D9" s="38"/>
      <c r="E9" s="41"/>
      <c r="F9" s="38">
        <v>325.9</v>
      </c>
      <c r="G9" s="41">
        <v>324.8</v>
      </c>
      <c r="H9" s="114">
        <v>804.74</v>
      </c>
      <c r="I9" s="43">
        <v>809.6</v>
      </c>
      <c r="J9" s="114">
        <v>359.91</v>
      </c>
      <c r="K9" s="43">
        <v>346.4</v>
      </c>
      <c r="L9" s="38">
        <v>185.64</v>
      </c>
      <c r="M9" s="43">
        <v>197.7</v>
      </c>
      <c r="N9" s="38">
        <v>389.16</v>
      </c>
      <c r="O9" s="43">
        <v>354.1</v>
      </c>
      <c r="P9" s="38">
        <f>148.76+151.35</f>
        <v>300.11</v>
      </c>
      <c r="Q9" s="43">
        <f>92+93.6</f>
        <v>185.6</v>
      </c>
      <c r="R9" s="38">
        <v>171.53</v>
      </c>
      <c r="S9" s="43">
        <v>81.8</v>
      </c>
      <c r="T9" s="38">
        <v>183.02</v>
      </c>
      <c r="U9" s="43">
        <v>74.4</v>
      </c>
    </row>
    <row r="10" spans="1:21" ht="15">
      <c r="A10" s="2" t="s">
        <v>23</v>
      </c>
      <c r="B10" s="35"/>
      <c r="C10" s="43"/>
      <c r="D10" s="38">
        <v>202.72</v>
      </c>
      <c r="E10" s="41">
        <v>342.6</v>
      </c>
      <c r="F10" s="38">
        <v>361.23</v>
      </c>
      <c r="G10" s="41">
        <v>356</v>
      </c>
      <c r="H10" s="114"/>
      <c r="I10" s="43"/>
      <c r="J10" s="114">
        <v>256.94</v>
      </c>
      <c r="K10" s="43">
        <v>247.3</v>
      </c>
      <c r="L10" s="38">
        <v>165.92</v>
      </c>
      <c r="M10" s="43">
        <v>176.7</v>
      </c>
      <c r="N10" s="38">
        <v>199.03</v>
      </c>
      <c r="O10" s="43">
        <v>181.1</v>
      </c>
      <c r="P10" s="38">
        <v>62.9</v>
      </c>
      <c r="Q10" s="43">
        <v>38.9</v>
      </c>
      <c r="R10" s="38">
        <v>179.08</v>
      </c>
      <c r="S10" s="43">
        <v>85.4</v>
      </c>
      <c r="T10" s="38">
        <v>184.5</v>
      </c>
      <c r="U10" s="43">
        <v>75</v>
      </c>
    </row>
    <row r="11" spans="1:21" ht="15">
      <c r="A11" s="2" t="s">
        <v>13</v>
      </c>
      <c r="B11" s="35"/>
      <c r="C11" s="43"/>
      <c r="D11" s="38"/>
      <c r="E11" s="41"/>
      <c r="F11" s="38">
        <v>0</v>
      </c>
      <c r="G11" s="41">
        <v>0</v>
      </c>
      <c r="H11" s="114"/>
      <c r="I11" s="43"/>
      <c r="J11" s="114">
        <v>307.75</v>
      </c>
      <c r="K11" s="43">
        <v>296.2</v>
      </c>
      <c r="L11" s="38">
        <v>206.3</v>
      </c>
      <c r="M11" s="43">
        <v>219.7</v>
      </c>
      <c r="N11" s="38">
        <v>687.87</v>
      </c>
      <c r="O11" s="43">
        <v>625.9</v>
      </c>
      <c r="P11" s="38"/>
      <c r="Q11" s="43"/>
      <c r="R11" s="38"/>
      <c r="S11" s="43"/>
      <c r="T11" s="38"/>
      <c r="U11" s="43"/>
    </row>
    <row r="12" spans="1:21" ht="15">
      <c r="A12" s="2" t="s">
        <v>14</v>
      </c>
      <c r="B12" s="35"/>
      <c r="C12" s="43"/>
      <c r="D12" s="38">
        <v>192.99</v>
      </c>
      <c r="E12" s="41">
        <v>339.6</v>
      </c>
      <c r="F12" s="38">
        <v>161.33</v>
      </c>
      <c r="G12" s="41">
        <v>168.1</v>
      </c>
      <c r="H12" s="114">
        <v>401.36</v>
      </c>
      <c r="I12" s="43">
        <v>386.3</v>
      </c>
      <c r="J12" s="114">
        <v>41.87</v>
      </c>
      <c r="K12" s="43">
        <v>40.3</v>
      </c>
      <c r="L12" s="38">
        <v>21.32</v>
      </c>
      <c r="M12" s="43">
        <v>19.4</v>
      </c>
      <c r="N12" s="38">
        <v>188.04</v>
      </c>
      <c r="O12" s="43">
        <v>171.1</v>
      </c>
      <c r="P12" s="38">
        <v>163.8</v>
      </c>
      <c r="Q12" s="43">
        <v>101.3</v>
      </c>
      <c r="R12" s="38">
        <v>119.95</v>
      </c>
      <c r="S12" s="43">
        <v>57.2</v>
      </c>
      <c r="T12" s="38"/>
      <c r="U12" s="43"/>
    </row>
    <row r="13" spans="1:21" ht="15">
      <c r="A13" s="2" t="s">
        <v>15</v>
      </c>
      <c r="B13" s="35"/>
      <c r="C13" s="43"/>
      <c r="D13" s="38"/>
      <c r="E13" s="41"/>
      <c r="F13" s="38">
        <v>0</v>
      </c>
      <c r="G13" s="41">
        <v>0</v>
      </c>
      <c r="H13" s="114"/>
      <c r="I13" s="43"/>
      <c r="J13" s="114">
        <v>0</v>
      </c>
      <c r="K13" s="43">
        <v>0</v>
      </c>
      <c r="L13" s="38"/>
      <c r="M13" s="43"/>
      <c r="N13" s="38"/>
      <c r="O13" s="43"/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/>
      <c r="C14" s="43"/>
      <c r="D14" s="38">
        <v>119.45</v>
      </c>
      <c r="E14" s="41">
        <v>162.8</v>
      </c>
      <c r="F14" s="38">
        <v>104.77</v>
      </c>
      <c r="G14" s="41">
        <v>105.4</v>
      </c>
      <c r="H14" s="114">
        <v>114.91</v>
      </c>
      <c r="I14" s="43">
        <v>110.6</v>
      </c>
      <c r="J14" s="114">
        <v>93.43</v>
      </c>
      <c r="K14" s="43">
        <v>99.5</v>
      </c>
      <c r="L14" s="38"/>
      <c r="M14" s="43"/>
      <c r="N14" s="38">
        <v>132.21</v>
      </c>
      <c r="O14" s="43">
        <v>120.3</v>
      </c>
      <c r="P14" s="38">
        <v>143.85</v>
      </c>
      <c r="Q14" s="43">
        <v>68.6</v>
      </c>
      <c r="R14" s="38">
        <v>96.19</v>
      </c>
      <c r="S14" s="43">
        <v>39.1</v>
      </c>
      <c r="T14" s="38"/>
      <c r="U14" s="43"/>
    </row>
    <row r="15" spans="1:21" ht="15">
      <c r="A15" s="2" t="s">
        <v>17</v>
      </c>
      <c r="B15" s="35"/>
      <c r="C15" s="43"/>
      <c r="D15" s="38"/>
      <c r="E15" s="41"/>
      <c r="F15" s="38">
        <v>0</v>
      </c>
      <c r="G15" s="41">
        <v>0</v>
      </c>
      <c r="H15" s="114"/>
      <c r="I15" s="43"/>
      <c r="J15" s="114">
        <v>0</v>
      </c>
      <c r="K15" s="43">
        <v>0</v>
      </c>
      <c r="L15" s="38">
        <v>117.37</v>
      </c>
      <c r="M15" s="43">
        <v>106.8</v>
      </c>
      <c r="N15" s="38"/>
      <c r="O15" s="43"/>
      <c r="P15" s="38"/>
      <c r="Q15" s="43"/>
      <c r="R15" s="38"/>
      <c r="S15" s="43"/>
      <c r="T15" s="38"/>
      <c r="U15" s="43"/>
    </row>
    <row r="16" spans="1:21" ht="15">
      <c r="A16" s="2" t="s">
        <v>18</v>
      </c>
      <c r="B16" s="35">
        <v>138.95</v>
      </c>
      <c r="C16" s="43">
        <v>286.9</v>
      </c>
      <c r="D16" s="38">
        <v>212.91</v>
      </c>
      <c r="E16" s="41">
        <v>278.6</v>
      </c>
      <c r="F16" s="38">
        <v>239.16</v>
      </c>
      <c r="G16" s="41">
        <v>240.6</v>
      </c>
      <c r="H16" s="114"/>
      <c r="I16" s="43"/>
      <c r="J16" s="114">
        <v>236.44</v>
      </c>
      <c r="K16" s="43">
        <v>251.8</v>
      </c>
      <c r="L16" s="38">
        <v>226.28</v>
      </c>
      <c r="M16" s="43">
        <v>205.9</v>
      </c>
      <c r="N16" s="38">
        <v>308.95</v>
      </c>
      <c r="O16" s="43">
        <v>185</v>
      </c>
      <c r="P16" s="38">
        <v>110.3</v>
      </c>
      <c r="Q16" s="43">
        <v>52.6</v>
      </c>
      <c r="R16" s="38">
        <v>242.56</v>
      </c>
      <c r="S16" s="43">
        <v>98.6</v>
      </c>
      <c r="T16" s="38"/>
      <c r="U16" s="43"/>
    </row>
    <row r="17" spans="1:21" ht="15">
      <c r="A17" s="2" t="s">
        <v>19</v>
      </c>
      <c r="B17" s="35">
        <v>40.87</v>
      </c>
      <c r="C17" s="43">
        <v>73.3</v>
      </c>
      <c r="D17" s="38"/>
      <c r="E17" s="41"/>
      <c r="F17" s="38">
        <v>294.62</v>
      </c>
      <c r="G17" s="41">
        <v>296.4</v>
      </c>
      <c r="H17" s="114">
        <v>474.61</v>
      </c>
      <c r="I17" s="43">
        <v>456.8</v>
      </c>
      <c r="J17" s="114">
        <v>203.67</v>
      </c>
      <c r="K17" s="43">
        <v>216.9</v>
      </c>
      <c r="L17" s="38">
        <v>183.97</v>
      </c>
      <c r="M17" s="43">
        <v>167.4</v>
      </c>
      <c r="N17" s="38">
        <f>205.84+321.62</f>
        <v>527.46</v>
      </c>
      <c r="O17" s="43">
        <f>127.3+198.9</f>
        <v>326.2</v>
      </c>
      <c r="P17" s="38">
        <v>187.26</v>
      </c>
      <c r="Q17" s="43">
        <v>89.3</v>
      </c>
      <c r="R17" s="38">
        <v>200.24</v>
      </c>
      <c r="S17" s="43">
        <v>81.4</v>
      </c>
      <c r="T17" s="38"/>
      <c r="U17" s="43"/>
    </row>
    <row r="18" spans="1:21" ht="15.75" thickBot="1">
      <c r="A18" s="2" t="s">
        <v>20</v>
      </c>
      <c r="B18" s="99">
        <v>235.95</v>
      </c>
      <c r="C18" s="86">
        <v>470.3</v>
      </c>
      <c r="D18" s="38">
        <v>457.34</v>
      </c>
      <c r="E18" s="41">
        <v>541.4</v>
      </c>
      <c r="F18" s="38">
        <v>207.45</v>
      </c>
      <c r="G18" s="41">
        <v>208.7</v>
      </c>
      <c r="H18" s="116">
        <v>170.19</v>
      </c>
      <c r="I18" s="86">
        <v>163.8</v>
      </c>
      <c r="J18" s="116">
        <v>297.19</v>
      </c>
      <c r="K18" s="86">
        <v>308.77</v>
      </c>
      <c r="L18" s="38">
        <v>447.19</v>
      </c>
      <c r="M18" s="43">
        <v>406.9</v>
      </c>
      <c r="N18" s="38">
        <f>338.44+273.11</f>
        <v>611.55</v>
      </c>
      <c r="O18" s="43">
        <f>209.3+168.9</f>
        <v>378.20000000000005</v>
      </c>
      <c r="P18" s="38">
        <v>281.42</v>
      </c>
      <c r="Q18" s="43">
        <v>134.2</v>
      </c>
      <c r="R18" s="38">
        <f>141.7+167.03</f>
        <v>308.73</v>
      </c>
      <c r="S18" s="43">
        <f>57.6+67.9</f>
        <v>125.5</v>
      </c>
      <c r="T18" s="38"/>
      <c r="U18" s="43"/>
    </row>
    <row r="19" spans="1:21" s="1" customFormat="1" ht="15.75" thickBot="1">
      <c r="A19" s="2" t="s">
        <v>21</v>
      </c>
      <c r="B19" s="37">
        <f aca="true" t="shared" si="0" ref="B19:G19">SUM(B7:B18)</f>
        <v>415.77</v>
      </c>
      <c r="C19" s="52">
        <f t="shared" si="0"/>
        <v>830.5</v>
      </c>
      <c r="D19" s="93">
        <f t="shared" si="0"/>
        <v>1476.2</v>
      </c>
      <c r="E19" s="94">
        <f t="shared" si="0"/>
        <v>2248.1000000000004</v>
      </c>
      <c r="F19" s="93">
        <f t="shared" si="0"/>
        <v>2235.7599999999998</v>
      </c>
      <c r="G19" s="94">
        <f t="shared" si="0"/>
        <v>2133.7</v>
      </c>
      <c r="H19" s="117">
        <f aca="true" t="shared" si="1" ref="H19:M19">SUM(H7:H18)</f>
        <v>2426.82</v>
      </c>
      <c r="I19" s="52">
        <f t="shared" si="1"/>
        <v>2390.9</v>
      </c>
      <c r="J19" s="117">
        <f t="shared" si="1"/>
        <v>2092.9</v>
      </c>
      <c r="K19" s="52">
        <f t="shared" si="1"/>
        <v>2091.77</v>
      </c>
      <c r="L19" s="133">
        <f t="shared" si="1"/>
        <v>1992.13</v>
      </c>
      <c r="M19" s="89">
        <f t="shared" si="1"/>
        <v>1966.4</v>
      </c>
      <c r="N19" s="133">
        <f aca="true" t="shared" si="2" ref="N19:S19">SUM(N7:N18)</f>
        <v>3623.9799999999996</v>
      </c>
      <c r="O19" s="89">
        <f t="shared" si="2"/>
        <v>2869.3999999999996</v>
      </c>
      <c r="P19" s="133">
        <f t="shared" si="2"/>
        <v>1594.38</v>
      </c>
      <c r="Q19" s="89">
        <f t="shared" si="2"/>
        <v>883.6999999999998</v>
      </c>
      <c r="R19" s="133">
        <f t="shared" si="2"/>
        <v>1803.53</v>
      </c>
      <c r="S19" s="89">
        <f t="shared" si="2"/>
        <v>800.4</v>
      </c>
      <c r="T19" s="133">
        <f>SUM(T7:T18)</f>
        <v>921.03</v>
      </c>
      <c r="U19" s="89">
        <f>SUM(U7:U18)</f>
        <v>374.4</v>
      </c>
    </row>
  </sheetData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zoomScale="75" zoomScaleNormal="75" workbookViewId="0" topLeftCell="A92">
      <pane xSplit="1" topLeftCell="N1" activePane="topRight" state="frozen"/>
      <selection pane="topLeft" activeCell="A1" sqref="A1"/>
      <selection pane="topRight" activeCell="S30" sqref="S30"/>
    </sheetView>
  </sheetViews>
  <sheetFormatPr defaultColWidth="11.5546875" defaultRowHeight="15"/>
  <cols>
    <col min="1" max="1" width="10.3359375" style="2" customWidth="1"/>
    <col min="2" max="2" width="9.4453125" style="20" bestFit="1" customWidth="1"/>
    <col min="3" max="3" width="13.4453125" style="22" bestFit="1" customWidth="1"/>
    <col min="4" max="4" width="10.99609375" style="7" customWidth="1"/>
    <col min="5" max="5" width="9.6640625" style="7" bestFit="1" customWidth="1"/>
    <col min="6" max="6" width="9.3359375" style="0" bestFit="1" customWidth="1"/>
    <col min="7" max="7" width="9.6640625" style="0" bestFit="1" customWidth="1"/>
    <col min="8" max="8" width="11.3359375" style="0" bestFit="1" customWidth="1"/>
    <col min="9" max="9" width="9.6640625" style="0" bestFit="1" customWidth="1"/>
    <col min="10" max="10" width="11.3359375" style="0" bestFit="1" customWidth="1"/>
    <col min="11" max="11" width="9.6640625" style="0" bestFit="1" customWidth="1"/>
    <col min="13" max="13" width="9.6640625" style="0" bestFit="1" customWidth="1"/>
    <col min="14" max="14" width="11.6640625" style="0" customWidth="1"/>
    <col min="15" max="15" width="9.6640625" style="0" bestFit="1" customWidth="1"/>
    <col min="16" max="16" width="11.6640625" style="0" bestFit="1" customWidth="1"/>
    <col min="17" max="17" width="9.6640625" style="0" bestFit="1" customWidth="1"/>
    <col min="18" max="18" width="14.10546875" style="0" customWidth="1"/>
    <col min="19" max="19" width="9.10546875" style="0" bestFit="1" customWidth="1"/>
    <col min="20" max="20" width="16.10546875" style="0" customWidth="1"/>
    <col min="21" max="16384" width="8.6640625" style="0" customWidth="1"/>
  </cols>
  <sheetData>
    <row r="1" spans="1:5" s="1" customFormat="1" ht="15">
      <c r="A1" s="2" t="s">
        <v>25</v>
      </c>
      <c r="B1" s="19"/>
      <c r="C1" s="21"/>
      <c r="D1" s="9"/>
      <c r="E1" s="9"/>
    </row>
    <row r="2" spans="1:5" s="1" customFormat="1" ht="15.75" thickBot="1">
      <c r="A2" s="2" t="s">
        <v>4</v>
      </c>
      <c r="B2" s="19"/>
      <c r="C2" s="21"/>
      <c r="D2" s="9"/>
      <c r="E2" s="9"/>
    </row>
    <row r="3" spans="2:21" s="1" customFormat="1" ht="15">
      <c r="B3" s="75"/>
      <c r="C3" s="59"/>
      <c r="D3" s="66"/>
      <c r="E3" s="60"/>
      <c r="F3" s="66"/>
      <c r="G3" s="60"/>
      <c r="H3" s="66"/>
      <c r="I3" s="60"/>
      <c r="J3" s="66"/>
      <c r="K3" s="60"/>
      <c r="L3" s="66"/>
      <c r="M3" s="60"/>
      <c r="N3" s="66"/>
      <c r="O3" s="60"/>
      <c r="P3" s="66"/>
      <c r="Q3" s="60"/>
      <c r="R3" s="66"/>
      <c r="S3" s="60"/>
      <c r="T3" s="66"/>
      <c r="U3" s="60"/>
    </row>
    <row r="4" spans="1:21" s="1" customFormat="1" ht="15">
      <c r="A4" s="2"/>
      <c r="B4" s="76">
        <v>1998</v>
      </c>
      <c r="C4" s="61"/>
      <c r="D4" s="50">
        <v>1999</v>
      </c>
      <c r="E4" s="62"/>
      <c r="F4" s="50">
        <v>2000</v>
      </c>
      <c r="G4" s="62"/>
      <c r="H4" s="50">
        <v>2001</v>
      </c>
      <c r="I4" s="62"/>
      <c r="J4" s="50">
        <v>2002</v>
      </c>
      <c r="K4" s="62"/>
      <c r="L4" s="50">
        <v>2003</v>
      </c>
      <c r="M4" s="62"/>
      <c r="N4" s="50">
        <v>2004</v>
      </c>
      <c r="O4" s="62"/>
      <c r="P4" s="50">
        <v>2005</v>
      </c>
      <c r="Q4" s="62"/>
      <c r="R4" s="50">
        <v>2006</v>
      </c>
      <c r="S4" s="62"/>
      <c r="T4" s="50">
        <v>2007</v>
      </c>
      <c r="U4" s="62"/>
    </row>
    <row r="5" spans="1:21" s="5" customFormat="1" ht="15">
      <c r="A5" s="4"/>
      <c r="B5" s="77" t="s">
        <v>5</v>
      </c>
      <c r="C5" s="33"/>
      <c r="D5" s="51" t="s">
        <v>5</v>
      </c>
      <c r="E5" s="63"/>
      <c r="F5" s="51" t="s">
        <v>5</v>
      </c>
      <c r="G5" s="63"/>
      <c r="H5" s="51" t="s">
        <v>5</v>
      </c>
      <c r="I5" s="63"/>
      <c r="J5" s="51" t="s">
        <v>5</v>
      </c>
      <c r="K5" s="63"/>
      <c r="L5" s="51" t="s">
        <v>5</v>
      </c>
      <c r="M5" s="63"/>
      <c r="N5" s="51" t="s">
        <v>5</v>
      </c>
      <c r="O5" s="63"/>
      <c r="P5" s="51" t="s">
        <v>5</v>
      </c>
      <c r="Q5" s="63"/>
      <c r="R5" s="51" t="s">
        <v>5</v>
      </c>
      <c r="S5" s="63"/>
      <c r="T5" s="51" t="s">
        <v>5</v>
      </c>
      <c r="U5" s="63"/>
    </row>
    <row r="6" spans="1:21" s="5" customFormat="1" ht="15.75" thickBot="1">
      <c r="A6" s="4" t="s">
        <v>6</v>
      </c>
      <c r="B6" s="78" t="s">
        <v>8</v>
      </c>
      <c r="C6" s="74" t="s">
        <v>7</v>
      </c>
      <c r="D6" s="47" t="s">
        <v>8</v>
      </c>
      <c r="E6" s="69" t="s">
        <v>7</v>
      </c>
      <c r="F6" s="47" t="s">
        <v>8</v>
      </c>
      <c r="G6" s="69" t="s">
        <v>7</v>
      </c>
      <c r="H6" s="47" t="s">
        <v>8</v>
      </c>
      <c r="I6" s="69" t="s">
        <v>7</v>
      </c>
      <c r="J6" s="47" t="s">
        <v>8</v>
      </c>
      <c r="K6" s="69" t="s">
        <v>7</v>
      </c>
      <c r="L6" s="47" t="s">
        <v>8</v>
      </c>
      <c r="M6" s="69" t="s">
        <v>7</v>
      </c>
      <c r="N6" s="47" t="s">
        <v>8</v>
      </c>
      <c r="O6" s="69" t="s">
        <v>7</v>
      </c>
      <c r="P6" s="47" t="s">
        <v>8</v>
      </c>
      <c r="Q6" s="69" t="s">
        <v>7</v>
      </c>
      <c r="R6" s="47" t="s">
        <v>8</v>
      </c>
      <c r="S6" s="69" t="s">
        <v>7</v>
      </c>
      <c r="T6" s="47" t="s">
        <v>8</v>
      </c>
      <c r="U6" s="69" t="s">
        <v>7</v>
      </c>
    </row>
    <row r="7" spans="1:21" s="5" customFormat="1" ht="15">
      <c r="A7" s="4"/>
      <c r="B7" s="79"/>
      <c r="C7" s="64"/>
      <c r="D7" s="72"/>
      <c r="E7" s="72"/>
      <c r="F7" s="72"/>
      <c r="G7" s="72"/>
      <c r="H7" s="72"/>
      <c r="I7" s="72"/>
      <c r="J7" s="72"/>
      <c r="K7" s="72"/>
      <c r="L7" s="131"/>
      <c r="M7" s="72"/>
      <c r="N7" s="131"/>
      <c r="O7" s="72"/>
      <c r="P7" s="131"/>
      <c r="Q7" s="72"/>
      <c r="R7" s="131"/>
      <c r="S7" s="72"/>
      <c r="T7" s="131"/>
      <c r="U7" s="72"/>
    </row>
    <row r="8" spans="1:21" ht="15">
      <c r="A8" s="2" t="s">
        <v>9</v>
      </c>
      <c r="B8" s="73">
        <f>'14747_NEWMAINT'!B7+'13112_PERRINE'!B7+'13057_THEATER'!B7++'13059_AUD'!B7+'13068_HENDRICKS'!B7+'13081_COT4'!B7+'13080_COT3'!B7+'13058_DALRYMPLE'!B7+'13065_HALFWAY'!B7+'13060_LIBRARY'!B7+'13067_RANDOMNORTH'!B7+'13077_HAPPYVALLEY'!B7+'13069_CAMPUSCENTER'!B7+'13072_COT5'!B7+'13073_PRESSER'!B7+'13083_MUMFORD'!B7+'13078_COT1'!B7+'13079_COT2'!B7+'13064_SCHRADER'!B7+'13066_ALLTHEWAY'!B7+'13056_DININGHALL'!B7+'13062_SCIENCEBLDG'!B7+'13074_APPLETREE'!B7+'13084_REDHOUSE'!B7+'13082_MACHOUSE'!B7+'13071_RANDOMSOUTH'!B7+'13075_ADMISSIONS'!B7+'13063_HOWLAND'!B7+'14766_WHITTEMORE'!B7+'13070_HAPPYVALLEY'!B7+'13113_CABIN2'!B7+'13137_CABIN1'!B7+'13061_PRESSERWEST'!B7+'13085_POTTERY'!B7</f>
        <v>0</v>
      </c>
      <c r="C8" s="108">
        <f>'14747_NEWMAINT'!C7+'13112_PERRINE'!C7+'13057_THEATER'!C7++'13059_AUD'!C7+'13068_HENDRICKS'!C7+'13081_COT4'!C7+'13080_COT3'!C7+'13058_DALRYMPLE'!C7+'13065_HALFWAY'!C7+'13060_LIBRARY'!C7+'13067_RANDOMNORTH'!C7+'13077_HAPPYVALLEY'!C7+'13069_CAMPUSCENTER'!C7+'13072_COT5'!C7+'13073_PRESSER'!C7+'13083_MUMFORD'!C7+'13078_COT1'!C7+'13079_COT2'!C7+'13064_SCHRADER'!C7+'13066_ALLTHEWAY'!C7+'13056_DININGHALL'!C7+'13062_SCIENCEBLDG'!C7+'13074_APPLETREE'!C7+'13084_REDHOUSE'!C7+'13082_MACHOUSE'!C7+'13071_RANDOMSOUTH'!C7+'13075_ADMISSIONS'!C7+'13063_HOWLAND'!C7+'14766_WHITTEMORE'!C7+'13070_HAPPYVALLEY'!C7+'13113_CABIN2'!C7+'13137_CABIN1'!C7+'13061_PRESSERWEST'!C7+'13085_POTTERY'!C7</f>
        <v>0</v>
      </c>
      <c r="D8" s="73">
        <f>'14747_NEWMAINT'!D7+'13112_PERRINE'!D7+'13057_THEATER'!D7++'13059_AUD'!D7+'13068_HENDRICKS'!D7+'13081_COT4'!D7+'13080_COT3'!D7+'13058_DALRYMPLE'!D7+'13065_HALFWAY'!D7+'13060_LIBRARY'!D7+'13067_RANDOMNORTH'!D7+'13077_HAPPYVALLEY'!D7+'13069_CAMPUSCENTER'!D7+'13072_COT5'!D7+'13073_PRESSER'!D7+'13083_MUMFORD'!D7+'13078_COT1'!D7+'13079_COT2'!D7+'13064_SCHRADER'!D7+'13066_ALLTHEWAY'!D7+'13056_DININGHALL'!D7+'13062_SCIENCEBLDG'!D7+'13074_APPLETREE'!D7+'13084_REDHOUSE'!D7+'13082_MACHOUSE'!D7+'13071_RANDOMSOUTH'!D7+'13075_ADMISSIONS'!D7+'13063_HOWLAND'!D7+'14766_WHITTEMORE'!D7+'13070_HAPPYVALLEY'!D7+'13113_CABIN2'!D7+'13137_CABIN1'!D7+'13061_PRESSERWEST'!D7+'13085_POTTERY'!D7+'13491_MAINT'!D7+'13645_MARLNORTH'!D7</f>
        <v>6854.870000000003</v>
      </c>
      <c r="E8" s="107">
        <f>'14747_NEWMAINT'!E7+'13112_PERRINE'!E7+'13057_THEATER'!E7++'13059_AUD'!E7+'13068_HENDRICKS'!E7+'13081_COT4'!E7+'13080_COT3'!E7+'13058_DALRYMPLE'!E7+'13065_HALFWAY'!E7+'13060_LIBRARY'!E7+'13067_RANDOMNORTH'!E7+'13077_HAPPYVALLEY'!E7+'13069_CAMPUSCENTER'!E7+'13072_COT5'!E7+'13073_PRESSER'!E7+'13083_MUMFORD'!E7+'13078_COT1'!E7+'13079_COT2'!E7+'13064_SCHRADER'!E7+'13066_ALLTHEWAY'!E7+'13056_DININGHALL'!E7+'13062_SCIENCEBLDG'!E7+'13074_APPLETREE'!E7+'13084_REDHOUSE'!E7+'13082_MACHOUSE'!E7+'13071_RANDOMSOUTH'!E7+'13075_ADMISSIONS'!E7+'13063_HOWLAND'!E7+'14766_WHITTEMORE'!E7+'13070_HAPPYVALLEY'!E7+'13113_CABIN2'!E7+'13137_CABIN1'!E7+'13061_PRESSERWEST'!E7+'13085_POTTERY'!E7+'13491_MAINT'!E7+'13645_MARLNORTH'!E7</f>
        <v>13056.8</v>
      </c>
      <c r="F8" s="73">
        <f>'14747_NEWMAINT'!F7+'13112_PERRINE'!F7+'13057_THEATER'!F7++'13059_AUD'!F7+'13068_HENDRICKS'!F7+'13081_COT4'!F7+'13080_COT3'!F7+'13058_DALRYMPLE'!F7+'13065_HALFWAY'!F7+'13060_LIBRARY'!F7+'13067_RANDOMNORTH'!F7+'13077_HAPPYVALLEY'!F7+'13069_CAMPUSCENTER'!F7+'13072_COT5'!F7+'13073_PRESSER'!F7+'13083_MUMFORD'!F7+'13078_COT1'!F7+'13079_COT2'!F7+'13064_SCHRADER'!F7+'13066_ALLTHEWAY'!F7+'13056_DININGHALL'!F7+'13062_SCIENCEBLDG'!F7+'13074_APPLETREE'!F7+'13084_REDHOUSE'!F7+'13082_MACHOUSE'!F7+'13071_RANDOMSOUTH'!F7+'13075_ADMISSIONS'!F7+'13063_HOWLAND'!F7+'14766_WHITTEMORE'!F7+'13070_HAPPYVALLEY'!F7+'13113_CABIN2'!F7+'13137_CABIN1'!F7+'13061_PRESSERWEST'!F7+'13085_POTTERY'!F7+'13491_MAINT'!F7+'13645_MARLNORTH'!F7</f>
        <v>12777.670000000002</v>
      </c>
      <c r="G8" s="107">
        <f>'14747_NEWMAINT'!G7+'13112_PERRINE'!G7+'13057_THEATER'!G7++'13059_AUD'!G7+'13068_HENDRICKS'!G7+'13081_COT4'!G7+'13080_COT3'!G7+'13058_DALRYMPLE'!G7+'13065_HALFWAY'!G7+'13060_LIBRARY'!G7+'13067_RANDOMNORTH'!G7+'13077_HAPPYVALLEY'!G7+'13069_CAMPUSCENTER'!G7+'13072_COT5'!G7+'13073_PRESSER'!G7+'13083_MUMFORD'!G7+'13078_COT1'!G7+'13079_COT2'!G7+'13064_SCHRADER'!G7+'13066_ALLTHEWAY'!G7+'13056_DININGHALL'!G7+'13062_SCIENCEBLDG'!G7+'13074_APPLETREE'!G7+'13084_REDHOUSE'!G7+'13082_MACHOUSE'!G7+'13071_RANDOMSOUTH'!G7+'13075_ADMISSIONS'!G7+'13063_HOWLAND'!G7+'14766_WHITTEMORE'!G7+'13070_HAPPYVALLEY'!G7+'13113_CABIN2'!G7+'13137_CABIN1'!G7+'13061_PRESSERWEST'!G7+'13085_POTTERY'!G7+'13491_MAINT'!G7+'13645_MARLNORTH'!G7</f>
        <v>13978.099999999999</v>
      </c>
      <c r="H8" s="130">
        <f>'14747_NEWMAINT'!H7+'13112_PERRINE'!H7+'13057_THEATER'!H7++'13059_AUD'!H7+'13068_HENDRICKS'!H7+'13081_COT4'!H7+'13080_COT3'!H7+'13058_DALRYMPLE'!H7+'13065_HALFWAY'!H7+'13060_LIBRARY'!H7+'13067_RANDOMNORTH'!H7+'13077_HAPPYVALLEY'!H7+'13069_CAMPUSCENTER'!H7+'13072_COT5'!H7+'13073_PRESSER'!H7+'13083_MUMFORD'!H7+'13078_COT1'!H7+'13079_COT2'!H7+'13064_SCHRADER'!H7+'13066_ALLTHEWAY'!H7+'13056_DININGHALL'!H7+'13062_SCIENCEBLDG'!H7+'13074_APPLETREE'!H7+'13084_REDHOUSE'!H7+'13082_MACHOUSE'!H7+'13071_RANDOMSOUTH'!H7+'13075_ADMISSIONS'!H7+'13063_HOWLAND'!H7+'14766_WHITTEMORE'!H7+'13070_HAPPYVALLEY'!H7+'13113_CABIN2'!H7+'13137_CABIN1'!H7+'13061_PRESSERWEST'!H7+'13085_POTTERY'!H7+'13491_MAINT'!H7+'13645_MARLNORTH'!H7</f>
        <v>11845.02</v>
      </c>
      <c r="I8" s="107">
        <f>'14747_NEWMAINT'!I7+'13112_PERRINE'!I7+'13057_THEATER'!I7++'13059_AUD'!I7+'13068_HENDRICKS'!I7+'13081_COT4'!I7+'13080_COT3'!I7+'13058_DALRYMPLE'!I7+'13065_HALFWAY'!I7+'13060_LIBRARY'!I7+'13067_RANDOMNORTH'!I7+'13077_HAPPYVALLEY'!I7+'13069_CAMPUSCENTER'!I7+'13072_COT5'!I7+'13073_PRESSER'!I7+'13083_MUMFORD'!I7+'13078_COT1'!I7+'13079_COT2'!I7+'13064_SCHRADER'!I7+'13066_ALLTHEWAY'!I7+'13056_DININGHALL'!I7+'13062_SCIENCEBLDG'!I7+'13074_APPLETREE'!I7+'13084_REDHOUSE'!I7+'13082_MACHOUSE'!I7+'13071_RANDOMSOUTH'!I7+'13075_ADMISSIONS'!I7+'13063_HOWLAND'!I7+'14766_WHITTEMORE'!I7+'13070_HAPPYVALLEY'!I7+'13113_CABIN2'!I7+'13137_CABIN1'!I7+'13061_PRESSERWEST'!I7+'13085_POTTERY'!I7+'13491_MAINT'!I7+'13645_MARLNORTH'!I7</f>
        <v>11061.8</v>
      </c>
      <c r="J8" s="130">
        <f>'14747_NEWMAINT'!J7+'13112_PERRINE'!J7+'13057_THEATER'!J7+'13059_AUD'!J7+'13068_HENDRICKS'!J7+'13081_COT4'!J7+'13080_COT3'!J7+'13058_DALRYMPLE'!J7+'13065_HALFWAY'!J7+'13060_LIBRARY'!J7+'13067_RANDOMNORTH'!J7+'13077_HAPPYVALLEY'!J7+'13069_CAMPUSCENTER'!J7+'13072_COT5'!J7+'13073_PRESSER'!J7+'13083_MUMFORD'!J7+'13078_COT1'!J7+'13079_COT2'!J7+'13064_SCHRADER'!J7+'13066_ALLTHEWAY'!J7+'13056_DININGHALL'!J7+'13062_SCIENCEBLDG'!J7+'13074_APPLETREE'!J7+'13084_REDHOUSE'!J7+'13082_MACHOUSE'!J7+'13071_RANDOMSOUTH'!J7+'13075_ADMISSIONS'!J7+'13063_HOWLAND'!J7+'14766_WHITTEMORE'!J7+'13070_HAPPYVALLEY'!J7+'13113_CABIN2'!J7+'13137_CABIN1'!J7+'13061_PRESSERWEST'!J7+'13085_POTTERY'!J7+'13491_MAINT'!J7+'13645_MARLNORTH'!J7+'17736_OUTOFWAY'!B7</f>
        <v>14320.751999999999</v>
      </c>
      <c r="K8" s="107">
        <f>'14747_NEWMAINT'!K7+'13112_PERRINE'!K7+'13057_THEATER'!K7+'13059_AUD'!K7+'13068_HENDRICKS'!K7+'13081_COT4'!K7+'13080_COT3'!K7+'13058_DALRYMPLE'!K7+'13065_HALFWAY'!K7+'13060_LIBRARY'!K7+'13067_RANDOMNORTH'!K7+'13077_HAPPYVALLEY'!K7+'13069_CAMPUSCENTER'!K7+'13072_COT5'!K7+'13073_PRESSER'!K7+'13083_MUMFORD'!K7+'13078_COT1'!K7+'13079_COT2'!K7+'13064_SCHRADER'!K7+'13066_ALLTHEWAY'!K7+'13056_DININGHALL'!K7+'13062_SCIENCEBLDG'!K7+'13074_APPLETREE'!K7+'13084_REDHOUSE'!K7+'13082_MACHOUSE'!K7+'13071_RANDOMSOUTH'!K7+'13075_ADMISSIONS'!K7+'13063_HOWLAND'!K7+'14766_WHITTEMORE'!K7+'13070_HAPPYVALLEY'!K7+'13113_CABIN2'!K7+'13137_CABIN1'!K7+'13061_PRESSERWEST'!K7+'13085_POTTERY'!K7+'13491_MAINT'!K7+'13645_MARLNORTH'!K7+'17736_OUTOFWAY'!C7</f>
        <v>13298.4</v>
      </c>
      <c r="L8" s="132">
        <f>'14747_NEWMAINT'!L7+'13112_PERRINE'!L7+'13057_THEATER'!L7++'13059_AUD'!L7+'13068_HENDRICKS'!L7+'13081_COT4'!L7+'13080_COT3'!L7+'13058_DALRYMPLE'!L7+'13065_HALFWAY'!L7+'13060_LIBRARY'!L7+'13067_RANDOMNORTH'!L7+'13077_HAPPYVALLEY'!L7+'13069_CAMPUSCENTER'!L7+'13072_COT5'!L7+'13073_PRESSER'!L7+'13083_MUMFORD'!L7+'13078_COT1'!L7+'13079_COT2'!L7+'13064_SCHRADER'!L7+'13066_ALLTHEWAY'!L7+'13056_DININGHALL'!L7+'13062_SCIENCEBLDG'!L7+'13074_APPLETREE'!L7+'13084_REDHOUSE'!L7+'13082_MACHOUSE'!L7+'13071_RANDOMSOUTH'!L7+'13075_ADMISSIONS'!L7+'13063_HOWLAND'!L7+'14766_WHITTEMORE'!L7+'13070_HAPPYVALLEY'!L7+'13113_CABIN2'!L7+'13137_CABIN1'!L7+'13061_PRESSERWEST'!L7+'13085_POTTERY'!L7+'13491_MAINT'!L7+'13645_MARLNORTH'!L7+'17736_OUTOFWAY'!D7</f>
        <v>16881.149999999998</v>
      </c>
      <c r="M8" s="107">
        <f>'14747_NEWMAINT'!M7+'13112_PERRINE'!M7+'13057_THEATER'!M7++'13059_AUD'!M7+'13068_HENDRICKS'!M7+'13081_COT4'!M7+'13080_COT3'!M7+'13058_DALRYMPLE'!M7+'13065_HALFWAY'!M7+'13060_LIBRARY'!M7+'13067_RANDOMNORTH'!M7+'13077_HAPPYVALLEY'!M7+'13069_CAMPUSCENTER'!M7+'13072_COT5'!M7+'13073_PRESSER'!M7+'13083_MUMFORD'!M7+'13078_COT1'!M7+'13079_COT2'!M7+'13064_SCHRADER'!M7+'13066_ALLTHEWAY'!M7+'13056_DININGHALL'!M7+'13062_SCIENCEBLDG'!M7+'13074_APPLETREE'!M7+'13084_REDHOUSE'!M7+'13082_MACHOUSE'!M7+'13071_RANDOMSOUTH'!M7+'13075_ADMISSIONS'!M7+'13063_HOWLAND'!M7+'14766_WHITTEMORE'!M7+'13070_HAPPYVALLEY'!M7+'13113_CABIN2'!M7+'13137_CABIN1'!M7+'13061_PRESSERWEST'!M7+'13085_POTTERY'!M7+'13491_MAINT'!M7+'13645_MARLNORTH'!M7</f>
        <v>17347.67</v>
      </c>
      <c r="N8" s="132">
        <f>'14747_NEWMAINT'!N7+'13112_PERRINE'!N7+'13057_THEATER'!N7++'13059_AUD'!N7+'13068_HENDRICKS'!N7+'13081_COT4'!N7+'13080_COT3'!N7+'13058_DALRYMPLE'!N7+'13065_HALFWAY'!N7+'13060_LIBRARY'!N7+'13067_RANDOMNORTH'!N7+'13077_HAPPYVALLEY'!N7+'13069_CAMPUSCENTER'!N7+'13072_COT5'!N7+'13073_PRESSER'!N7+'13083_MUMFORD'!N7+'13078_COT1'!N7+'13079_COT2'!N7+'13064_SCHRADER'!N7+'13066_ALLTHEWAY'!N7+'13056_DININGHALL'!N7+'13062_SCIENCEBLDG'!N7+'13074_APPLETREE'!N7+'13084_REDHOUSE'!N7+'13082_MACHOUSE'!N7+'13071_RANDOMSOUTH'!N7+'13075_ADMISSIONS'!N7+'13063_HOWLAND'!N7+'14766_WHITTEMORE'!N7+'13070_HAPPYVALLEY'!N7+'13113_CABIN2'!N7+'13137_CABIN1'!N7+'13061_PRESSERWEST'!N7+'13085_POTTERY'!N7+'13491_MAINT'!N7+'13645_MARLNORTH'!N7+'17736_OUTOFWAY'!F7</f>
        <v>17400.319999999996</v>
      </c>
      <c r="O8" s="107">
        <f>'14747_NEWMAINT'!O7+'13112_PERRINE'!O7+'13057_THEATER'!O7++'13059_AUD'!O7+'13068_HENDRICKS'!O7+'13081_COT4'!O7+'13080_COT3'!O7+'13058_DALRYMPLE'!O7+'13065_HALFWAY'!O7+'13060_LIBRARY'!O7+'13067_RANDOMNORTH'!O7+'13077_HAPPYVALLEY'!O7+'13069_CAMPUSCENTER'!O7+'13072_COT5'!O7+'13073_PRESSER'!O7+'13083_MUMFORD'!O7+'13078_COT1'!O7+'13079_COT2'!O7+'13064_SCHRADER'!O7+'13066_ALLTHEWAY'!O7+'13056_DININGHALL'!O7+'13062_SCIENCEBLDG'!O7+'13074_APPLETREE'!O7+'13084_REDHOUSE'!O7+'13082_MACHOUSE'!O7+'13071_RANDOMSOUTH'!O7+'13075_ADMISSIONS'!O7+'13063_HOWLAND'!O7+'14766_WHITTEMORE'!O7+'13070_HAPPYVALLEY'!O7+'13113_CABIN2'!O7+'13137_CABIN1'!O7+'13061_PRESSERWEST'!O7+'13085_POTTERY'!O7+'13491_MAINT'!O7+'13645_MARLNORTH'!O7</f>
        <v>15601.7</v>
      </c>
      <c r="P8" s="132">
        <f>'13056_DININGHALL'!P7+'13057_THEATER'!P7+'13058_DALRYMPLE'!P7+'13059_AUD'!P7+'13060_LIBRARY'!P7+'13061_PRESSERWEST'!P7+'13062_SCIENCEBLDG'!P7+'13063_HOWLAND'!P7+'13064_SCHRADER'!P7+'13065_HALFWAY'!P7+'13066_ALLTHEWAY'!P7+'13067_RANDOMNORTH'!P7+'13068_HENDRICKS'!P7+'13069_CAMPUSCENTER'!P7+'13070_HAPPYVALLEY'!P7+'13071_RANDOMSOUTH'!P7+'13072_COT5'!P7+'13074_APPLETREE'!P7+'13075_ADMISSIONS'!P7+'13077_HAPPYVALLEY'!P7+'13078_COT1'!P7+'13079_COT2'!P7+'13080_COT3'!P7+'13081_COT4'!P7+'13082_MACHOUSE'!P7+'13083_MUMFORD'!P7+'13084_REDHOUSE'!P7+'13085_POTTERY'!P7+'13112_PERRINE'!P7+'13113_CABIN2'!P7+'13137_CABIN1'!P7+'13491_MAINT'!P7+'13645_MARLNORTH'!P7+'14747_NEWMAINT'!P7+'14766_WHITTEMORE'!P7+'17736_OUTOFWAY'!H7+'21054_COT6'!B7</f>
        <v>16142.410000000005</v>
      </c>
      <c r="Q8" s="174">
        <f>'13056_DININGHALL'!Q7+'13057_THEATER'!Q7+'13058_DALRYMPLE'!Q7+'13059_AUD'!Q7+'13060_LIBRARY'!Q7+'13061_PRESSERWEST'!Q7+'13062_SCIENCEBLDG'!Q7+'13063_HOWLAND'!Q7+'13064_SCHRADER'!Q7+'13065_HALFWAY'!Q7+'13066_ALLTHEWAY'!Q7+'13067_RANDOMNORTH'!Q7+'13068_HENDRICKS'!Q7+'13069_CAMPUSCENTER'!Q7+'13070_HAPPYVALLEY'!Q7+'13071_RANDOMSOUTH'!Q7+'13072_COT5'!Q7+'13074_APPLETREE'!Q7+'13075_ADMISSIONS'!Q7+'13077_HAPPYVALLEY'!Q7+'13078_COT1'!Q7+'13079_COT2'!Q7+'13080_COT3'!Q7+'13081_COT4'!Q7+'13082_MACHOUSE'!Q7+'13083_MUMFORD'!Q7+'13084_REDHOUSE'!Q7+'13085_POTTERY'!Q7+'13112_PERRINE'!Q7+'13113_CABIN2'!Q7+'13137_CABIN1'!Q7+'13491_MAINT'!Q7+'13645_MARLNORTH'!Q7+'14747_NEWMAINT'!Q7+'14766_WHITTEMORE'!Q7+'17736_OUTOFWAY'!I7+'21054_COT6'!C7</f>
        <v>9971.800000000001</v>
      </c>
      <c r="R8" s="132">
        <f>'14747_NEWMAINT'!R7+'13112_PERRINE'!R7+'13057_THEATER'!R7++'13059_AUD'!R7+'13068_HENDRICKS'!R7+'13081_COT4'!R7+'13080_COT3'!R7+'13058_DALRYMPLE'!R7+'13065_HALFWAY'!R7+'13060_LIBRARY'!R7+'13067_RANDOMNORTH'!R7+'13077_HAPPYVALLEY'!R7+'13069_CAMPUSCENTER'!R7+'13072_COT5'!R7+'13073_PRESSER'!R7+'13083_MUMFORD'!R7+'13078_COT1'!R7+'13079_COT2'!R7+'13064_SCHRADER'!R7+'13066_ALLTHEWAY'!R7+'13056_DININGHALL'!R7+'13062_SCIENCEBLDG'!R7+'13074_APPLETREE'!R7+'13084_REDHOUSE'!R7+'13082_MACHOUSE'!R7+'13071_RANDOMSOUTH'!R7+'13075_ADMISSIONS'!R7+'13063_HOWLAND'!R7+'14766_WHITTEMORE'!R7+'13070_HAPPYVALLEY'!R7+'13113_CABIN2'!R7+'13137_CABIN1'!R7+'13061_PRESSERWEST'!R7+'13085_POTTERY'!R7+'13491_MAINT'!R7+'13645_MARLNORTH'!R7+'17736_OUTOFWAY'!J7</f>
        <v>26468.990000000005</v>
      </c>
      <c r="S8" s="107">
        <f>'14747_NEWMAINT'!S7+'13112_PERRINE'!S7+'13057_THEATER'!S7++'13059_AUD'!S7+'13068_HENDRICKS'!S7+'13081_COT4'!S7+'13080_COT3'!S7+'13058_DALRYMPLE'!S7+'13065_HALFWAY'!S7+'13060_LIBRARY'!S7+'13067_RANDOMNORTH'!S7+'13077_HAPPYVALLEY'!S7+'13069_CAMPUSCENTER'!S7+'13072_COT5'!S7+'13073_PRESSER'!S7+'13083_MUMFORD'!S7+'13078_COT1'!S7+'13079_COT2'!S7+'13064_SCHRADER'!S7+'13066_ALLTHEWAY'!S7+'13056_DININGHALL'!S7+'13062_SCIENCEBLDG'!S7+'13074_APPLETREE'!S7+'13084_REDHOUSE'!S7+'13082_MACHOUSE'!S7+'13071_RANDOMSOUTH'!S7+'13075_ADMISSIONS'!S7+'13063_HOWLAND'!S7+'14766_WHITTEMORE'!S7+'13070_HAPPYVALLEY'!S7+'13113_CABIN2'!S7+'13137_CABIN1'!S7+'13061_PRESSERWEST'!S7+'13085_POTTERY'!S7+'13491_MAINT'!S7+'13645_MARLNORTH'!S7</f>
        <v>12288.7</v>
      </c>
      <c r="T8" s="132">
        <f>'14747_NEWMAINT'!T7+'13112_PERRINE'!T7+'13057_THEATER'!T7++'13059_AUD'!T7+'13068_HENDRICKS'!T7+'13081_COT4'!T7+'13080_COT3'!T7+'13058_DALRYMPLE'!T7+'13065_HALFWAY'!T7+'13060_LIBRARY'!T7+'13067_RANDOMNORTH'!T7+'13077_HAPPYVALLEY'!T7+'13069_CAMPUSCENTER'!T7+'13072_COT5'!T7+'13073_PRESSER'!T7+'13083_MUMFORD'!T7+'13078_COT1'!T7+'13079_COT2'!T7+'13064_SCHRADER'!T7+'13066_ALLTHEWAY'!T7+'13056_DININGHALL'!T7+'13062_SCIENCEBLDG'!T7+'13074_APPLETREE'!T7+'13084_REDHOUSE'!T7+'13082_MACHOUSE'!T7+'13071_RANDOMSOUTH'!T7+'13075_ADMISSIONS'!T7+'13063_HOWLAND'!T7+'14766_WHITTEMORE'!T7+'13070_HAPPYVALLEY'!T7+'13113_CABIN2'!T7+'13137_CABIN1'!T7+'13061_PRESSERWEST'!T7+'13085_POTTERY'!T7+'13491_MAINT'!T7+'13645_MARLNORTH'!T7+'17736_OUTOFWAY'!L7</f>
        <v>32139.639999999996</v>
      </c>
      <c r="U8" s="107">
        <f>'14747_NEWMAINT'!U7+'13112_PERRINE'!U7+'13057_THEATER'!U7++'13059_AUD'!U7+'13068_HENDRICKS'!U7+'13081_COT4'!U7+'13080_COT3'!U7+'13058_DALRYMPLE'!U7+'13065_HALFWAY'!U7+'13060_LIBRARY'!U7+'13067_RANDOMNORTH'!U7+'13077_HAPPYVALLEY'!U7+'13069_CAMPUSCENTER'!U7+'13072_COT5'!U7+'13073_PRESSER'!U7+'13083_MUMFORD'!U7+'13078_COT1'!U7+'13079_COT2'!U7+'13064_SCHRADER'!U7+'13066_ALLTHEWAY'!U7+'13056_DININGHALL'!U7+'13062_SCIENCEBLDG'!U7+'13074_APPLETREE'!U7+'13084_REDHOUSE'!U7+'13082_MACHOUSE'!U7+'13071_RANDOMSOUTH'!U7+'13075_ADMISSIONS'!U7+'13063_HOWLAND'!U7+'14766_WHITTEMORE'!U7+'13070_HAPPYVALLEY'!U7+'13113_CABIN2'!U7+'13137_CABIN1'!U7+'13061_PRESSERWEST'!U7+'13085_POTTERY'!U7+'13491_MAINT'!U7+'13645_MARLNORTH'!U7</f>
        <v>12735.2</v>
      </c>
    </row>
    <row r="9" spans="1:21" ht="15">
      <c r="A9" s="2" t="s">
        <v>10</v>
      </c>
      <c r="B9" s="73">
        <f>'14747_NEWMAINT'!B8+'13112_PERRINE'!B8+'13057_THEATER'!B8++'13059_AUD'!B8+'13068_HENDRICKS'!B8+'13081_COT4'!B8+'13080_COT3'!B8+'13058_DALRYMPLE'!B8+'13065_HALFWAY'!B8+'13060_LIBRARY'!B8+'13067_RANDOMNORTH'!B8+'13077_HAPPYVALLEY'!B8+'13069_CAMPUSCENTER'!B8+'13072_COT5'!B8+'13073_PRESSER'!B8+'13083_MUMFORD'!B8+'13078_COT1'!B8+'13079_COT2'!B8+'13064_SCHRADER'!B8+'13066_ALLTHEWAY'!B8+'13056_DININGHALL'!B8+'13062_SCIENCEBLDG'!B8+'13074_APPLETREE'!B8+'13084_REDHOUSE'!B8+'13082_MACHOUSE'!B8+'13071_RANDOMSOUTH'!B8+'13075_ADMISSIONS'!B8+'13063_HOWLAND'!B8+'14766_WHITTEMORE'!B8+'13070_HAPPYVALLEY'!B8+'13113_CABIN2'!B8+'13137_CABIN1'!B8+'13061_PRESSERWEST'!B8+'13085_POTTERY'!B8</f>
        <v>0</v>
      </c>
      <c r="C9" s="108">
        <f>'14747_NEWMAINT'!C8+'13112_PERRINE'!C8+'13057_THEATER'!C8++'13059_AUD'!C8+'13068_HENDRICKS'!C8+'13081_COT4'!C8+'13080_COT3'!C8+'13058_DALRYMPLE'!C8+'13065_HALFWAY'!C8+'13060_LIBRARY'!C8+'13067_RANDOMNORTH'!C8+'13077_HAPPYVALLEY'!C8+'13069_CAMPUSCENTER'!C8+'13072_COT5'!C8+'13073_PRESSER'!C8+'13083_MUMFORD'!C8+'13078_COT1'!C8+'13079_COT2'!C8+'13064_SCHRADER'!C8+'13066_ALLTHEWAY'!C8+'13056_DININGHALL'!C8+'13062_SCIENCEBLDG'!C8+'13074_APPLETREE'!C8+'13084_REDHOUSE'!C8+'13082_MACHOUSE'!C8+'13071_RANDOMSOUTH'!C8+'13075_ADMISSIONS'!C8+'13063_HOWLAND'!C8+'14766_WHITTEMORE'!C8+'13070_HAPPYVALLEY'!C8+'13113_CABIN2'!C8+'13137_CABIN1'!C8+'13061_PRESSERWEST'!C8+'13085_POTTERY'!C8</f>
        <v>0</v>
      </c>
      <c r="D9" s="73">
        <f>'14747_NEWMAINT'!D8+'13112_PERRINE'!D8+'13057_THEATER'!D8++'13059_AUD'!D8+'13068_HENDRICKS'!D8+'13081_COT4'!D8+'13080_COT3'!D8+'13058_DALRYMPLE'!D8+'13065_HALFWAY'!D8+'13060_LIBRARY'!D8+'13067_RANDOMNORTH'!D8+'13077_HAPPYVALLEY'!D8+'13069_CAMPUSCENTER'!D8+'13072_COT5'!D8+'13073_PRESSER'!D8+'13083_MUMFORD'!D8+'13078_COT1'!D8+'13079_COT2'!D8+'13064_SCHRADER'!D8+'13066_ALLTHEWAY'!D8+'13056_DININGHALL'!D8+'13062_SCIENCEBLDG'!D8+'13074_APPLETREE'!D8+'13084_REDHOUSE'!D8+'13082_MACHOUSE'!D8+'13071_RANDOMSOUTH'!D8+'13075_ADMISSIONS'!D8+'13063_HOWLAND'!D8+'14766_WHITTEMORE'!D8+'13070_HAPPYVALLEY'!D8+'13113_CABIN2'!D8+'13137_CABIN1'!D8+'13061_PRESSERWEST'!D8+'13085_POTTERY'!D8+'13491_MAINT'!D8+'13645_MARLNORTH'!D8</f>
        <v>4423.47</v>
      </c>
      <c r="E9" s="107">
        <f>'14747_NEWMAINT'!E8+'13112_PERRINE'!E8+'13057_THEATER'!E8++'13059_AUD'!E8+'13068_HENDRICKS'!E8+'13081_COT4'!E8+'13080_COT3'!E8+'13058_DALRYMPLE'!E8+'13065_HALFWAY'!E8+'13060_LIBRARY'!E8+'13067_RANDOMNORTH'!E8+'13077_HAPPYVALLEY'!E8+'13069_CAMPUSCENTER'!E8+'13072_COT5'!E8+'13073_PRESSER'!E8+'13083_MUMFORD'!E8+'13078_COT1'!E8+'13079_COT2'!E8+'13064_SCHRADER'!E8+'13066_ALLTHEWAY'!E8+'13056_DININGHALL'!E8+'13062_SCIENCEBLDG'!E8+'13074_APPLETREE'!E8+'13084_REDHOUSE'!E8+'13082_MACHOUSE'!E8+'13071_RANDOMSOUTH'!E8+'13075_ADMISSIONS'!E8+'13063_HOWLAND'!E8+'14766_WHITTEMORE'!E8+'13070_HAPPYVALLEY'!E8+'13113_CABIN2'!E8+'13137_CABIN1'!E8+'13061_PRESSERWEST'!E8+'13085_POTTERY'!E8+'13491_MAINT'!E8+'13645_MARLNORTH'!E8</f>
        <v>8904.5</v>
      </c>
      <c r="F9" s="73">
        <f>'14747_NEWMAINT'!F8+'13112_PERRINE'!F8+'13057_THEATER'!F8++'13059_AUD'!F8+'13068_HENDRICKS'!F8+'13081_COT4'!F8+'13080_COT3'!F8+'13058_DALRYMPLE'!F8+'13065_HALFWAY'!F8+'13060_LIBRARY'!F8+'13067_RANDOMNORTH'!F8+'13077_HAPPYVALLEY'!F8+'13069_CAMPUSCENTER'!F8+'13072_COT5'!F8+'13073_PRESSER'!F8+'13083_MUMFORD'!F8+'13078_COT1'!F8+'13079_COT2'!F8+'13064_SCHRADER'!F8+'13066_ALLTHEWAY'!F8+'13056_DININGHALL'!F8+'13062_SCIENCEBLDG'!F8+'13074_APPLETREE'!F8+'13084_REDHOUSE'!F8+'13082_MACHOUSE'!F8+'13071_RANDOMSOUTH'!F8+'13075_ADMISSIONS'!F8+'13063_HOWLAND'!F8+'14766_WHITTEMORE'!F8+'13070_HAPPYVALLEY'!F8+'13113_CABIN2'!F8+'13137_CABIN1'!F8+'13061_PRESSERWEST'!F8+'13085_POTTERY'!F8+'13491_MAINT'!F8+'13645_MARLNORTH'!F8</f>
        <v>17147.609999999997</v>
      </c>
      <c r="G9" s="107">
        <f>'14747_NEWMAINT'!G8+'13112_PERRINE'!G8+'13057_THEATER'!G8++'13059_AUD'!G8+'13068_HENDRICKS'!G8+'13081_COT4'!G8+'13080_COT3'!G8+'13058_DALRYMPLE'!G8+'13065_HALFWAY'!G8+'13060_LIBRARY'!G8+'13067_RANDOMNORTH'!G8+'13077_HAPPYVALLEY'!G8+'13069_CAMPUSCENTER'!G8+'13072_COT5'!G8+'13073_PRESSER'!G8+'13083_MUMFORD'!G8+'13078_COT1'!G8+'13079_COT2'!G8+'13064_SCHRADER'!G8+'13066_ALLTHEWAY'!G8+'13056_DININGHALL'!G8+'13062_SCIENCEBLDG'!G8+'13074_APPLETREE'!G8+'13084_REDHOUSE'!G8+'13082_MACHOUSE'!G8+'13071_RANDOMSOUTH'!G8+'13075_ADMISSIONS'!G8+'13063_HOWLAND'!G8+'14766_WHITTEMORE'!G8+'13070_HAPPYVALLEY'!G8+'13113_CABIN2'!G8+'13137_CABIN1'!G8+'13061_PRESSERWEST'!G8+'13085_POTTERY'!G8+'13491_MAINT'!G8+'13645_MARLNORTH'!G8</f>
        <v>12553.179999999997</v>
      </c>
      <c r="H9" s="130">
        <f>'14747_NEWMAINT'!H8+'13112_PERRINE'!H8+'13057_THEATER'!H8++'13059_AUD'!H8+'13068_HENDRICKS'!H8+'13081_COT4'!H8+'13080_COT3'!H8+'13058_DALRYMPLE'!H8+'13065_HALFWAY'!H8+'13060_LIBRARY'!H8+'13067_RANDOMNORTH'!H8+'13077_HAPPYVALLEY'!H8+'13069_CAMPUSCENTER'!H8+'13072_COT5'!H8+'13073_PRESSER'!H8+'13083_MUMFORD'!H8+'13078_COT1'!H8+'13079_COT2'!H8+'13064_SCHRADER'!H8+'13066_ALLTHEWAY'!H8+'13056_DININGHALL'!H8+'13062_SCIENCEBLDG'!H8+'13074_APPLETREE'!H8+'13084_REDHOUSE'!H8+'13082_MACHOUSE'!H8+'13071_RANDOMSOUTH'!H8+'13075_ADMISSIONS'!H8+'13063_HOWLAND'!H8+'14766_WHITTEMORE'!H8+'13070_HAPPYVALLEY'!H8+'13113_CABIN2'!H8+'13137_CABIN1'!H8+'13061_PRESSERWEST'!H8+'13085_POTTERY'!H8+'13491_MAINT'!H8+'13645_MARLNORTH'!H8</f>
        <v>11193.05</v>
      </c>
      <c r="I9" s="107">
        <f>'14747_NEWMAINT'!I8+'13112_PERRINE'!I8+'13057_THEATER'!I8++'13059_AUD'!I8+'13068_HENDRICKS'!I8+'13081_COT4'!I8+'13080_COT3'!I8+'13058_DALRYMPLE'!I8+'13065_HALFWAY'!I8+'13060_LIBRARY'!I8+'13067_RANDOMNORTH'!I8+'13077_HAPPYVALLEY'!I8+'13069_CAMPUSCENTER'!I8+'13072_COT5'!I8+'13073_PRESSER'!I8+'13083_MUMFORD'!I8+'13078_COT1'!I8+'13079_COT2'!I8+'13064_SCHRADER'!I8+'13066_ALLTHEWAY'!I8+'13056_DININGHALL'!I8+'13062_SCIENCEBLDG'!I8+'13074_APPLETREE'!I8+'13084_REDHOUSE'!I8+'13082_MACHOUSE'!I8+'13071_RANDOMSOUTH'!I8+'13075_ADMISSIONS'!I8+'13063_HOWLAND'!I8+'14766_WHITTEMORE'!I8+'13070_HAPPYVALLEY'!I8+'13113_CABIN2'!I8+'13137_CABIN1'!I8+'13061_PRESSERWEST'!I8+'13085_POTTERY'!I8+'13491_MAINT'!I8+'13645_MARLNORTH'!I8</f>
        <v>11257.980000000001</v>
      </c>
      <c r="J9" s="130">
        <f>'14747_NEWMAINT'!J8+'13112_PERRINE'!J8+'13057_THEATER'!J8+'13059_AUD'!J8+'13068_HENDRICKS'!J8+'13081_COT4'!J8+'13080_COT3'!J8+'13058_DALRYMPLE'!J8+'13065_HALFWAY'!J8+'13060_LIBRARY'!J8+'13067_RANDOMNORTH'!J8+'13077_HAPPYVALLEY'!J8+'13069_CAMPUSCENTER'!J8+'13072_COT5'!J8+'13073_PRESSER'!J8+'13083_MUMFORD'!J8+'13078_COT1'!J8+'13079_COT2'!J8+'13064_SCHRADER'!J8+'13066_ALLTHEWAY'!J8+'13056_DININGHALL'!J8+'13062_SCIENCEBLDG'!J8+'13074_APPLETREE'!J8+'13084_REDHOUSE'!J8+'13082_MACHOUSE'!J8+'13071_RANDOMSOUTH'!J8+'13075_ADMISSIONS'!J8+'13063_HOWLAND'!J8+'14766_WHITTEMORE'!J8+'13070_HAPPYVALLEY'!J8+'13113_CABIN2'!J8+'13137_CABIN1'!J8+'13061_PRESSERWEST'!J8+'13085_POTTERY'!J8+'13491_MAINT'!J8+'13645_MARLNORTH'!J8+'17736_OUTOFWAY'!B8</f>
        <v>9757.49</v>
      </c>
      <c r="K9" s="107">
        <f>'14747_NEWMAINT'!K8+'13112_PERRINE'!K8+'13057_THEATER'!K8+'13059_AUD'!K8+'13068_HENDRICKS'!K8+'13081_COT4'!K8+'13080_COT3'!K8+'13058_DALRYMPLE'!K8+'13065_HALFWAY'!K8+'13060_LIBRARY'!K8+'13067_RANDOMNORTH'!K8+'13077_HAPPYVALLEY'!K8+'13069_CAMPUSCENTER'!K8+'13072_COT5'!K8+'13073_PRESSER'!K8+'13083_MUMFORD'!K8+'13078_COT1'!K8+'13079_COT2'!K8+'13064_SCHRADER'!K8+'13066_ALLTHEWAY'!K8+'13056_DININGHALL'!K8+'13062_SCIENCEBLDG'!K8+'13074_APPLETREE'!K8+'13084_REDHOUSE'!K8+'13082_MACHOUSE'!K8+'13071_RANDOMSOUTH'!K8+'13075_ADMISSIONS'!K8+'13063_HOWLAND'!K8+'14766_WHITTEMORE'!K8+'13070_HAPPYVALLEY'!K8+'13113_CABIN2'!K8+'13137_CABIN1'!K8+'13061_PRESSERWEST'!K8+'13085_POTTERY'!K8+'13491_MAINT'!K8+'13645_MARLNORTH'!K8+'17736_OUTOFWAY'!C8</f>
        <v>9391.2</v>
      </c>
      <c r="L9" s="132">
        <f>'14747_NEWMAINT'!L8+'13112_PERRINE'!L8+'13057_THEATER'!L8++'13059_AUD'!L8+'13068_HENDRICKS'!L8+'13081_COT4'!L8+'13080_COT3'!L8+'13058_DALRYMPLE'!L8+'13065_HALFWAY'!L8+'13060_LIBRARY'!L8+'13067_RANDOMNORTH'!L8+'13077_HAPPYVALLEY'!L8+'13069_CAMPUSCENTER'!L8+'13072_COT5'!L8+'13073_PRESSER'!L8+'13083_MUMFORD'!L8+'13078_COT1'!L8+'13079_COT2'!L8+'13064_SCHRADER'!L8+'13066_ALLTHEWAY'!L8+'13056_DININGHALL'!L8+'13062_SCIENCEBLDG'!L8+'13074_APPLETREE'!L8+'13084_REDHOUSE'!L8+'13082_MACHOUSE'!L8+'13071_RANDOMSOUTH'!L8+'13075_ADMISSIONS'!L8+'13063_HOWLAND'!L8+'14766_WHITTEMORE'!L8+'13070_HAPPYVALLEY'!L8+'13113_CABIN2'!L8+'13137_CABIN1'!L8+'13061_PRESSERWEST'!L8+'13085_POTTERY'!L8+'13491_MAINT'!L8+'13645_MARLNORTH'!L8+'17736_OUTOFWAY'!D8</f>
        <v>11855.439999999999</v>
      </c>
      <c r="M9" s="107">
        <f>'14747_NEWMAINT'!M8+'13112_PERRINE'!M8+'13057_THEATER'!M8++'13059_AUD'!M8+'13068_HENDRICKS'!M8+'13081_COT4'!M8+'13080_COT3'!M8+'13058_DALRYMPLE'!M8+'13065_HALFWAY'!M8+'13060_LIBRARY'!M8+'13067_RANDOMNORTH'!M8+'13077_HAPPYVALLEY'!M8+'13069_CAMPUSCENTER'!M8+'13072_COT5'!M8+'13073_PRESSER'!M8+'13083_MUMFORD'!M8+'13078_COT1'!M8+'13079_COT2'!M8+'13064_SCHRADER'!M8+'13066_ALLTHEWAY'!M8+'13056_DININGHALL'!M8+'13062_SCIENCEBLDG'!M8+'13074_APPLETREE'!M8+'13084_REDHOUSE'!M8+'13082_MACHOUSE'!M8+'13071_RANDOMSOUTH'!M8+'13075_ADMISSIONS'!M8+'13063_HOWLAND'!M8+'14766_WHITTEMORE'!M8+'13070_HAPPYVALLEY'!M8+'13113_CABIN2'!M8+'13137_CABIN1'!M8+'13061_PRESSERWEST'!M8+'13085_POTTERY'!M8+'13491_MAINT'!M8+'13645_MARLNORTH'!M8</f>
        <v>12288.3</v>
      </c>
      <c r="N9" s="132">
        <f>'14747_NEWMAINT'!N8+'13112_PERRINE'!N8+'13057_THEATER'!N8++'13059_AUD'!N8+'13068_HENDRICKS'!N8+'13081_COT4'!N8+'13080_COT3'!N8+'13058_DALRYMPLE'!N8+'13065_HALFWAY'!N8+'13060_LIBRARY'!N8+'13067_RANDOMNORTH'!N8+'13077_HAPPYVALLEY'!N8+'13069_CAMPUSCENTER'!N8+'13072_COT5'!N8+'13073_PRESSER'!N8+'13083_MUMFORD'!N8+'13078_COT1'!N8+'13079_COT2'!N8+'13064_SCHRADER'!N8+'13066_ALLTHEWAY'!N8+'13056_DININGHALL'!N8+'13062_SCIENCEBLDG'!N8+'13074_APPLETREE'!N8+'13084_REDHOUSE'!N8+'13082_MACHOUSE'!N8+'13071_RANDOMSOUTH'!N8+'13075_ADMISSIONS'!N8+'13063_HOWLAND'!N8+'14766_WHITTEMORE'!N8+'13070_HAPPYVALLEY'!N8+'13113_CABIN2'!N8+'13137_CABIN1'!N8+'13061_PRESSERWEST'!N8+'13085_POTTERY'!N8+'13491_MAINT'!N8+'13645_MARLNORTH'!N8+'17736_OUTOFWAY'!F8</f>
        <v>15407.43</v>
      </c>
      <c r="O9" s="107">
        <f>'14747_NEWMAINT'!O8+'13112_PERRINE'!O8+'13057_THEATER'!O8++'13059_AUD'!O8+'13068_HENDRICKS'!O8+'13081_COT4'!O8+'13080_COT3'!O8+'13058_DALRYMPLE'!O8+'13065_HALFWAY'!O8+'13060_LIBRARY'!O8+'13067_RANDOMNORTH'!O8+'13077_HAPPYVALLEY'!O8+'13069_CAMPUSCENTER'!O8+'13072_COT5'!O8+'13073_PRESSER'!O8+'13083_MUMFORD'!O8+'13078_COT1'!O8+'13079_COT2'!O8+'13064_SCHRADER'!O8+'13066_ALLTHEWAY'!O8+'13056_DININGHALL'!O8+'13062_SCIENCEBLDG'!O8+'13074_APPLETREE'!O8+'13084_REDHOUSE'!O8+'13082_MACHOUSE'!O8+'13071_RANDOMSOUTH'!O8+'13075_ADMISSIONS'!O8+'13063_HOWLAND'!O8+'14766_WHITTEMORE'!O8+'13070_HAPPYVALLEY'!O8+'13113_CABIN2'!O8+'13137_CABIN1'!O8+'13061_PRESSERWEST'!O8+'13085_POTTERY'!O8+'13491_MAINT'!O8+'13645_MARLNORTH'!O8</f>
        <v>14008.939999999999</v>
      </c>
      <c r="P9" s="132">
        <f>'13056_DININGHALL'!P8+'13057_THEATER'!P8+'13058_DALRYMPLE'!P8+'13059_AUD'!P8+'13060_LIBRARY'!P8+'13061_PRESSERWEST'!P8+'13062_SCIENCEBLDG'!P8+'13063_HOWLAND'!P8+'13064_SCHRADER'!P8+'13065_HALFWAY'!P8+'13066_ALLTHEWAY'!P8+'13067_RANDOMNORTH'!P8+'13068_HENDRICKS'!P8+'13069_CAMPUSCENTER'!P8+'13070_HAPPYVALLEY'!P8+'13071_RANDOMSOUTH'!P8+'13072_COT5'!P8+'13074_APPLETREE'!P8+'13075_ADMISSIONS'!P8+'13077_HAPPYVALLEY'!P8+'13078_COT1'!P8+'13079_COT2'!P8+'13080_COT3'!P8+'13081_COT4'!P8+'13082_MACHOUSE'!P8+'13083_MUMFORD'!P8+'13084_REDHOUSE'!P8+'13085_POTTERY'!P8+'13112_PERRINE'!P8+'13113_CABIN2'!P8+'13137_CABIN1'!P8+'13491_MAINT'!P8+'13645_MARLNORTH'!P8+'14747_NEWMAINT'!P8+'14766_WHITTEMORE'!P8+'17736_OUTOFWAY'!H8+'21054_COT6'!B8</f>
        <v>17892.290000000005</v>
      </c>
      <c r="Q9" s="174">
        <f>'13056_DININGHALL'!Q8+'13057_THEATER'!Q8+'13058_DALRYMPLE'!Q8+'13059_AUD'!Q8+'13060_LIBRARY'!Q8+'13061_PRESSERWEST'!Q8+'13062_SCIENCEBLDG'!Q8+'13063_HOWLAND'!Q8+'13064_SCHRADER'!Q8+'13065_HALFWAY'!Q8+'13066_ALLTHEWAY'!Q8+'13067_RANDOMNORTH'!Q8+'13068_HENDRICKS'!Q8+'13069_CAMPUSCENTER'!Q8+'13070_HAPPYVALLEY'!Q8+'13071_RANDOMSOUTH'!Q8+'13072_COT5'!Q8+'13074_APPLETREE'!Q8+'13075_ADMISSIONS'!Q8+'13077_HAPPYVALLEY'!Q8+'13078_COT1'!Q8+'13079_COT2'!Q8+'13080_COT3'!Q8+'13081_COT4'!Q8+'13082_MACHOUSE'!Q8+'13083_MUMFORD'!Q8+'13084_REDHOUSE'!Q8+'13085_POTTERY'!Q8+'13112_PERRINE'!Q8+'13113_CABIN2'!Q8+'13137_CABIN1'!Q8+'13491_MAINT'!Q8+'13645_MARLNORTH'!Q8+'14747_NEWMAINT'!Q8+'14766_WHITTEMORE'!Q8+'17736_OUTOFWAY'!I8+'21054_COT6'!C8</f>
        <v>11028</v>
      </c>
      <c r="R9" s="132">
        <f>'14747_NEWMAINT'!R8+'13112_PERRINE'!R8+'13057_THEATER'!R8++'13059_AUD'!R8+'13068_HENDRICKS'!R8+'13081_COT4'!R8+'13080_COT3'!R8+'13058_DALRYMPLE'!R8+'13065_HALFWAY'!R8+'13060_LIBRARY'!R8+'13067_RANDOMNORTH'!R8+'13077_HAPPYVALLEY'!R8+'13069_CAMPUSCENTER'!R8+'13072_COT5'!R8+'13073_PRESSER'!R8+'13083_MUMFORD'!R8+'13078_COT1'!R8+'13079_COT2'!R8+'13064_SCHRADER'!R8+'13066_ALLTHEWAY'!R8+'13056_DININGHALL'!R8+'13062_SCIENCEBLDG'!R8+'13074_APPLETREE'!R8+'13084_REDHOUSE'!R8+'13082_MACHOUSE'!R8+'13071_RANDOMSOUTH'!R8+'13075_ADMISSIONS'!R8+'13063_HOWLAND'!R8+'14766_WHITTEMORE'!R8+'13070_HAPPYVALLEY'!R8+'13113_CABIN2'!R8+'13137_CABIN1'!R8+'13061_PRESSERWEST'!R8+'13085_POTTERY'!R8+'13491_MAINT'!R8+'13645_MARLNORTH'!R8+'17736_OUTOFWAY'!J8</f>
        <v>22041.16</v>
      </c>
      <c r="S9" s="107">
        <f>'14747_NEWMAINT'!S8+'13112_PERRINE'!S8+'13057_THEATER'!S8++'13059_AUD'!S8+'13068_HENDRICKS'!S8+'13081_COT4'!S8+'13080_COT3'!S8+'13058_DALRYMPLE'!S8+'13065_HALFWAY'!S8+'13060_LIBRARY'!S8+'13067_RANDOMNORTH'!S8+'13077_HAPPYVALLEY'!S8+'13069_CAMPUSCENTER'!S8+'13072_COT5'!S8+'13073_PRESSER'!S8+'13083_MUMFORD'!S8+'13078_COT1'!S8+'13079_COT2'!S8+'13064_SCHRADER'!S8+'13066_ALLTHEWAY'!S8+'13056_DININGHALL'!S8+'13062_SCIENCEBLDG'!S8+'13074_APPLETREE'!S8+'13084_REDHOUSE'!S8+'13082_MACHOUSE'!S8+'13071_RANDOMSOUTH'!S8+'13075_ADMISSIONS'!S8+'13063_HOWLAND'!S8+'14766_WHITTEMORE'!S8+'13070_HAPPYVALLEY'!S8+'13113_CABIN2'!S8+'13137_CABIN1'!S8+'13061_PRESSERWEST'!S8+'13085_POTTERY'!S8+'13491_MAINT'!S8+'13645_MARLNORTH'!S8</f>
        <v>10264.7</v>
      </c>
      <c r="T9" s="132">
        <f>'14747_NEWMAINT'!T8+'13112_PERRINE'!T8+'13057_THEATER'!T8++'13059_AUD'!T8+'13068_HENDRICKS'!T8+'13081_COT4'!T8+'13080_COT3'!T8+'13058_DALRYMPLE'!T8+'13065_HALFWAY'!T8+'13060_LIBRARY'!T8+'13067_RANDOMNORTH'!T8+'13077_HAPPYVALLEY'!T8+'13069_CAMPUSCENTER'!T8+'13072_COT5'!T8+'13073_PRESSER'!T8+'13083_MUMFORD'!T8+'13078_COT1'!T8+'13079_COT2'!T8+'13064_SCHRADER'!T8+'13066_ALLTHEWAY'!T8+'13056_DININGHALL'!T8+'13062_SCIENCEBLDG'!T8+'13074_APPLETREE'!T8+'13084_REDHOUSE'!T8+'13082_MACHOUSE'!T8+'13071_RANDOMSOUTH'!T8+'13075_ADMISSIONS'!T8+'13063_HOWLAND'!T8+'14766_WHITTEMORE'!T8+'13070_HAPPYVALLEY'!T8+'13113_CABIN2'!T8+'13137_CABIN1'!T8+'13061_PRESSERWEST'!T8+'13085_POTTERY'!T8+'13491_MAINT'!T8+'13645_MARLNORTH'!T8+'17736_OUTOFWAY'!L8</f>
        <v>38917.57</v>
      </c>
      <c r="U9" s="107">
        <f>'14747_NEWMAINT'!U8+'13112_PERRINE'!U8+'13057_THEATER'!U8++'13059_AUD'!U8+'13068_HENDRICKS'!U8+'13081_COT4'!U8+'13080_COT3'!U8+'13058_DALRYMPLE'!U8+'13065_HALFWAY'!U8+'13060_LIBRARY'!U8+'13067_RANDOMNORTH'!U8+'13077_HAPPYVALLEY'!U8+'13069_CAMPUSCENTER'!U8+'13072_COT5'!U8+'13073_PRESSER'!U8+'13083_MUMFORD'!U8+'13078_COT1'!U8+'13079_COT2'!U8+'13064_SCHRADER'!U8+'13066_ALLTHEWAY'!U8+'13056_DININGHALL'!U8+'13062_SCIENCEBLDG'!U8+'13074_APPLETREE'!U8+'13084_REDHOUSE'!U8+'13082_MACHOUSE'!U8+'13071_RANDOMSOUTH'!U8+'13075_ADMISSIONS'!U8+'13063_HOWLAND'!U8+'14766_WHITTEMORE'!U8+'13070_HAPPYVALLEY'!U8+'13113_CABIN2'!U8+'13137_CABIN1'!U8+'13061_PRESSERWEST'!U8+'13085_POTTERY'!U8+'13491_MAINT'!U8+'13645_MARLNORTH'!U8</f>
        <v>15557.300000000003</v>
      </c>
    </row>
    <row r="10" spans="1:21" ht="15">
      <c r="A10" s="2" t="s">
        <v>11</v>
      </c>
      <c r="B10" s="73">
        <f>'14747_NEWMAINT'!B9+'13112_PERRINE'!B9+'13057_THEATER'!B9++'13059_AUD'!B9+'13068_HENDRICKS'!B9+'13081_COT4'!B9+'13080_COT3'!B9+'13058_DALRYMPLE'!B9+'13065_HALFWAY'!B9+'13060_LIBRARY'!B9+'13067_RANDOMNORTH'!B9+'13077_HAPPYVALLEY'!B9+'13069_CAMPUSCENTER'!B9+'13072_COT5'!B9+'13073_PRESSER'!B9+'13083_MUMFORD'!B9+'13078_COT1'!B9+'13079_COT2'!B9+'13064_SCHRADER'!B9+'13066_ALLTHEWAY'!B9+'13056_DININGHALL'!B9+'13062_SCIENCEBLDG'!B9+'13074_APPLETREE'!B9+'13084_REDHOUSE'!B9+'13082_MACHOUSE'!B9+'13071_RANDOMSOUTH'!B9+'13075_ADMISSIONS'!B9+'13063_HOWLAND'!B9+'14766_WHITTEMORE'!B9+'13070_HAPPYVALLEY'!B9+'13113_CABIN2'!B9+'13137_CABIN1'!B9+'13061_PRESSERWEST'!B9+'13085_POTTERY'!B9</f>
        <v>0</v>
      </c>
      <c r="C10" s="108">
        <f>'14747_NEWMAINT'!C9+'13112_PERRINE'!C9+'13057_THEATER'!C9++'13059_AUD'!C9+'13068_HENDRICKS'!C9+'13081_COT4'!C9+'13080_COT3'!C9+'13058_DALRYMPLE'!C9+'13065_HALFWAY'!C9+'13060_LIBRARY'!C9+'13067_RANDOMNORTH'!C9+'13077_HAPPYVALLEY'!C9+'13069_CAMPUSCENTER'!C9+'13072_COT5'!C9+'13073_PRESSER'!C9+'13083_MUMFORD'!C9+'13078_COT1'!C9+'13079_COT2'!C9+'13064_SCHRADER'!C9+'13066_ALLTHEWAY'!C9+'13056_DININGHALL'!C9+'13062_SCIENCEBLDG'!C9+'13074_APPLETREE'!C9+'13084_REDHOUSE'!C9+'13082_MACHOUSE'!C9+'13071_RANDOMSOUTH'!C9+'13075_ADMISSIONS'!C9+'13063_HOWLAND'!C9+'14766_WHITTEMORE'!C9+'13070_HAPPYVALLEY'!C9+'13113_CABIN2'!C9+'13137_CABIN1'!C9+'13061_PRESSERWEST'!C9+'13085_POTTERY'!C9</f>
        <v>0</v>
      </c>
      <c r="D10" s="73">
        <f>'14747_NEWMAINT'!D9+'13112_PERRINE'!D9+'13057_THEATER'!D9++'13059_AUD'!D9+'13068_HENDRICKS'!D9+'13081_COT4'!D9+'13080_COT3'!D9+'13058_DALRYMPLE'!D9+'13065_HALFWAY'!D9+'13060_LIBRARY'!D9+'13067_RANDOMNORTH'!D9+'13077_HAPPYVALLEY'!D9+'13069_CAMPUSCENTER'!D9+'13072_COT5'!D9+'13073_PRESSER'!D9+'13083_MUMFORD'!D9+'13078_COT1'!D9+'13079_COT2'!D9+'13064_SCHRADER'!D9+'13066_ALLTHEWAY'!D9+'13056_DININGHALL'!D9+'13062_SCIENCEBLDG'!D9+'13074_APPLETREE'!D9+'13084_REDHOUSE'!D9+'13082_MACHOUSE'!D9+'13071_RANDOMSOUTH'!D9+'13075_ADMISSIONS'!D9+'13063_HOWLAND'!D9+'14766_WHITTEMORE'!D9+'13070_HAPPYVALLEY'!D9+'13113_CABIN2'!D9+'13137_CABIN1'!D9+'13061_PRESSERWEST'!D9+'13085_POTTERY'!D9+'13491_MAINT'!D9+'13645_MARLNORTH'!D9</f>
        <v>5441.280000000001</v>
      </c>
      <c r="E10" s="107">
        <f>'14747_NEWMAINT'!E9+'13112_PERRINE'!E9+'13057_THEATER'!E9++'13059_AUD'!E9+'13068_HENDRICKS'!E9+'13081_COT4'!E9+'13080_COT3'!E9+'13058_DALRYMPLE'!E9+'13065_HALFWAY'!E9+'13060_LIBRARY'!E9+'13067_RANDOMNORTH'!E9+'13077_HAPPYVALLEY'!E9+'13069_CAMPUSCENTER'!E9+'13072_COT5'!E9+'13073_PRESSER'!E9+'13083_MUMFORD'!E9+'13078_COT1'!E9+'13079_COT2'!E9+'13064_SCHRADER'!E9+'13066_ALLTHEWAY'!E9+'13056_DININGHALL'!E9+'13062_SCIENCEBLDG'!E9+'13074_APPLETREE'!E9+'13084_REDHOUSE'!E9+'13082_MACHOUSE'!E9+'13071_RANDOMSOUTH'!E9+'13075_ADMISSIONS'!E9+'13063_HOWLAND'!E9+'14766_WHITTEMORE'!E9+'13070_HAPPYVALLEY'!E9+'13113_CABIN2'!E9+'13137_CABIN1'!E9+'13061_PRESSERWEST'!E9+'13085_POTTERY'!E9+'13491_MAINT'!E9+'13645_MARLNORTH'!E9</f>
        <v>10356.700000000003</v>
      </c>
      <c r="F10" s="73">
        <f>'14747_NEWMAINT'!F9+'13112_PERRINE'!F9+'13057_THEATER'!F9++'13059_AUD'!F9+'13068_HENDRICKS'!F9+'13081_COT4'!F9+'13080_COT3'!F9+'13058_DALRYMPLE'!F9+'13065_HALFWAY'!F9+'13060_LIBRARY'!F9+'13067_RANDOMNORTH'!F9+'13077_HAPPYVALLEY'!F9+'13069_CAMPUSCENTER'!F9+'13072_COT5'!F9+'13073_PRESSER'!F9+'13083_MUMFORD'!F9+'13078_COT1'!F9+'13079_COT2'!F9+'13064_SCHRADER'!F9+'13066_ALLTHEWAY'!F9+'13056_DININGHALL'!F9+'13062_SCIENCEBLDG'!F9+'13074_APPLETREE'!F9+'13084_REDHOUSE'!F9+'13082_MACHOUSE'!F9+'13071_RANDOMSOUTH'!F9+'13075_ADMISSIONS'!F9+'13063_HOWLAND'!F9+'14766_WHITTEMORE'!F9+'13070_HAPPYVALLEY'!F9+'13113_CABIN2'!F9+'13137_CABIN1'!F9+'13061_PRESSERWEST'!F9+'13085_POTTERY'!F9+'13491_MAINT'!F9+'13645_MARLNORTH'!F9</f>
        <v>8418.95</v>
      </c>
      <c r="G10" s="107">
        <f>'14747_NEWMAINT'!G9+'13112_PERRINE'!G9+'13057_THEATER'!G9++'13059_AUD'!G9+'13068_HENDRICKS'!G9+'13081_COT4'!G9+'13080_COT3'!G9+'13058_DALRYMPLE'!G9+'13065_HALFWAY'!G9+'13060_LIBRARY'!G9+'13067_RANDOMNORTH'!G9+'13077_HAPPYVALLEY'!G9+'13069_CAMPUSCENTER'!G9+'13072_COT5'!G9+'13073_PRESSER'!G9+'13083_MUMFORD'!G9+'13078_COT1'!G9+'13079_COT2'!G9+'13064_SCHRADER'!G9+'13066_ALLTHEWAY'!G9+'13056_DININGHALL'!G9+'13062_SCIENCEBLDG'!G9+'13074_APPLETREE'!G9+'13084_REDHOUSE'!G9+'13082_MACHOUSE'!G9+'13071_RANDOMSOUTH'!G9+'13075_ADMISSIONS'!G9+'13063_HOWLAND'!G9+'14766_WHITTEMORE'!G9+'13070_HAPPYVALLEY'!G9+'13113_CABIN2'!G9+'13137_CABIN1'!G9+'13061_PRESSERWEST'!G9+'13085_POTTERY'!G9+'13491_MAINT'!G9+'13645_MARLNORTH'!G9</f>
        <v>8405.900000000001</v>
      </c>
      <c r="H10" s="130">
        <f>'14747_NEWMAINT'!H9+'13112_PERRINE'!H9+'13057_THEATER'!H9++'13059_AUD'!H9+'13068_HENDRICKS'!H9+'13081_COT4'!H9+'13080_COT3'!H9+'13058_DALRYMPLE'!H9+'13065_HALFWAY'!H9+'13060_LIBRARY'!H9+'13067_RANDOMNORTH'!H9+'13077_HAPPYVALLEY'!H9+'13069_CAMPUSCENTER'!H9+'13072_COT5'!H9+'13073_PRESSER'!H9+'13083_MUMFORD'!H9+'13078_COT1'!H9+'13079_COT2'!H9+'13064_SCHRADER'!H9+'13066_ALLTHEWAY'!H9+'13056_DININGHALL'!H9+'13062_SCIENCEBLDG'!H9+'13074_APPLETREE'!H9+'13084_REDHOUSE'!H9+'13082_MACHOUSE'!H9+'13071_RANDOMSOUTH'!H9+'13075_ADMISSIONS'!H9+'13063_HOWLAND'!H9+'14766_WHITTEMORE'!H9+'13070_HAPPYVALLEY'!H9+'13113_CABIN2'!H9+'13137_CABIN1'!H9+'13061_PRESSERWEST'!H9+'13085_POTTERY'!H9+'13491_MAINT'!H9+'13645_MARLNORTH'!H9</f>
        <v>13465.369999999999</v>
      </c>
      <c r="I10" s="107">
        <f>'14747_NEWMAINT'!I9+'13112_PERRINE'!I9+'13057_THEATER'!I9++'13059_AUD'!I9+'13068_HENDRICKS'!I9+'13081_COT4'!I9+'13080_COT3'!I9+'13058_DALRYMPLE'!I9+'13065_HALFWAY'!I9+'13060_LIBRARY'!I9+'13067_RANDOMNORTH'!I9+'13077_HAPPYVALLEY'!I9+'13069_CAMPUSCENTER'!I9+'13072_COT5'!I9+'13073_PRESSER'!I9+'13083_MUMFORD'!I9+'13078_COT1'!I9+'13079_COT2'!I9+'13064_SCHRADER'!I9+'13066_ALLTHEWAY'!I9+'13056_DININGHALL'!I9+'13062_SCIENCEBLDG'!I9+'13074_APPLETREE'!I9+'13084_REDHOUSE'!I9+'13082_MACHOUSE'!I9+'13071_RANDOMSOUTH'!I9+'13075_ADMISSIONS'!I9+'13063_HOWLAND'!I9+'14766_WHITTEMORE'!I9+'13070_HAPPYVALLEY'!I9+'13113_CABIN2'!I9+'13137_CABIN1'!I9+'13061_PRESSERWEST'!I9+'13085_POTTERY'!I9+'13491_MAINT'!I9+'13645_MARLNORTH'!I9</f>
        <v>13349.370000000003</v>
      </c>
      <c r="J10" s="130">
        <f>'14747_NEWMAINT'!J9+'13112_PERRINE'!J9+'13057_THEATER'!J9+'13059_AUD'!J9+'13068_HENDRICKS'!J9+'13081_COT4'!J9+'13080_COT3'!J9+'13058_DALRYMPLE'!J9+'13065_HALFWAY'!J9+'13060_LIBRARY'!J9+'13067_RANDOMNORTH'!J9+'13077_HAPPYVALLEY'!J9+'13069_CAMPUSCENTER'!J9+'13072_COT5'!J9+'13073_PRESSER'!J9+'13083_MUMFORD'!J9+'13078_COT1'!J9+'13079_COT2'!J9+'13064_SCHRADER'!J9+'13066_ALLTHEWAY'!J9+'13056_DININGHALL'!J9+'13062_SCIENCEBLDG'!J9+'13074_APPLETREE'!J9+'13084_REDHOUSE'!J9+'13082_MACHOUSE'!J9+'13071_RANDOMSOUTH'!J9+'13075_ADMISSIONS'!J9+'13063_HOWLAND'!J9+'14766_WHITTEMORE'!J9+'13070_HAPPYVALLEY'!J9+'13113_CABIN2'!J9+'13137_CABIN1'!J9+'13061_PRESSERWEST'!J9+'13085_POTTERY'!J9+'13491_MAINT'!J9+'13645_MARLNORTH'!J9+'17736_OUTOFWAY'!B9</f>
        <v>10043.589999999998</v>
      </c>
      <c r="K10" s="107">
        <f>'14747_NEWMAINT'!K9+'13112_PERRINE'!K9+'13057_THEATER'!K9+'13059_AUD'!K9+'13068_HENDRICKS'!K9+'13081_COT4'!K9+'13080_COT3'!K9+'13058_DALRYMPLE'!K9+'13065_HALFWAY'!K9+'13060_LIBRARY'!K9+'13067_RANDOMNORTH'!K9+'13077_HAPPYVALLEY'!K9+'13069_CAMPUSCENTER'!K9+'13072_COT5'!K9+'13073_PRESSER'!K9+'13083_MUMFORD'!K9+'13078_COT1'!K9+'13079_COT2'!K9+'13064_SCHRADER'!K9+'13066_ALLTHEWAY'!K9+'13056_DININGHALL'!K9+'13062_SCIENCEBLDG'!K9+'13074_APPLETREE'!K9+'13084_REDHOUSE'!K9+'13082_MACHOUSE'!K9+'13071_RANDOMSOUTH'!K9+'13075_ADMISSIONS'!K9+'13063_HOWLAND'!K9+'14766_WHITTEMORE'!K9+'13070_HAPPYVALLEY'!K9+'13113_CABIN2'!K9+'13137_CABIN1'!K9+'13061_PRESSERWEST'!K9+'13085_POTTERY'!K9+'13491_MAINT'!K9+'13645_MARLNORTH'!K9+'17736_OUTOFWAY'!C9</f>
        <v>9656.6</v>
      </c>
      <c r="L10" s="132">
        <f>'14747_NEWMAINT'!L9+'13112_PERRINE'!L9+'13057_THEATER'!L9++'13059_AUD'!L9+'13068_HENDRICKS'!L9+'13081_COT4'!L9+'13080_COT3'!L9+'13058_DALRYMPLE'!L9+'13065_HALFWAY'!L9+'13060_LIBRARY'!L9+'13067_RANDOMNORTH'!L9+'13077_HAPPYVALLEY'!L9+'13069_CAMPUSCENTER'!L9+'13072_COT5'!L9+'13073_PRESSER'!L9+'13083_MUMFORD'!L9+'13078_COT1'!L9+'13079_COT2'!L9+'13064_SCHRADER'!L9+'13066_ALLTHEWAY'!L9+'13056_DININGHALL'!L9+'13062_SCIENCEBLDG'!L9+'13074_APPLETREE'!L9+'13084_REDHOUSE'!L9+'13082_MACHOUSE'!L9+'13071_RANDOMSOUTH'!L9+'13075_ADMISSIONS'!L9+'13063_HOWLAND'!L9+'14766_WHITTEMORE'!L9+'13070_HAPPYVALLEY'!L9+'13113_CABIN2'!L9+'13137_CABIN1'!L9+'13061_PRESSERWEST'!L9+'13085_POTTERY'!L9+'13491_MAINT'!L9+'13645_MARLNORTH'!L9+'17736_OUTOFWAY'!D9</f>
        <v>11687.989999999998</v>
      </c>
      <c r="M10" s="107">
        <f>'14747_NEWMAINT'!M9+'13112_PERRINE'!M9+'13057_THEATER'!M9++'13059_AUD'!M9+'13068_HENDRICKS'!M9+'13081_COT4'!M9+'13080_COT3'!M9+'13058_DALRYMPLE'!M9+'13065_HALFWAY'!M9+'13060_LIBRARY'!M9+'13067_RANDOMNORTH'!M9+'13077_HAPPYVALLEY'!M9+'13069_CAMPUSCENTER'!M9+'13072_COT5'!M9+'13073_PRESSER'!M9+'13083_MUMFORD'!M9+'13078_COT1'!M9+'13079_COT2'!M9+'13064_SCHRADER'!M9+'13066_ALLTHEWAY'!M9+'13056_DININGHALL'!M9+'13062_SCIENCEBLDG'!M9+'13074_APPLETREE'!M9+'13084_REDHOUSE'!M9+'13082_MACHOUSE'!M9+'13071_RANDOMSOUTH'!M9+'13075_ADMISSIONS'!M9+'13063_HOWLAND'!M9+'14766_WHITTEMORE'!M9+'13070_HAPPYVALLEY'!M9+'13113_CABIN2'!M9+'13137_CABIN1'!M9+'13061_PRESSERWEST'!M9+'13085_POTTERY'!M9+'13491_MAINT'!M9+'13645_MARLNORTH'!M9</f>
        <v>12334.6</v>
      </c>
      <c r="N10" s="132">
        <f>'14747_NEWMAINT'!N9+'13112_PERRINE'!N9+'13057_THEATER'!N9++'13059_AUD'!N9+'13068_HENDRICKS'!N9+'13081_COT4'!N9+'13080_COT3'!N9+'13058_DALRYMPLE'!N9+'13065_HALFWAY'!N9+'13060_LIBRARY'!N9+'13067_RANDOMNORTH'!N9+'13077_HAPPYVALLEY'!N9+'13069_CAMPUSCENTER'!N9+'13072_COT5'!N9+'13073_PRESSER'!N9+'13083_MUMFORD'!N9+'13078_COT1'!N9+'13079_COT2'!N9+'13064_SCHRADER'!N9+'13066_ALLTHEWAY'!N9+'13056_DININGHALL'!N9+'13062_SCIENCEBLDG'!N9+'13074_APPLETREE'!N9+'13084_REDHOUSE'!N9+'13082_MACHOUSE'!N9+'13071_RANDOMSOUTH'!N9+'13075_ADMISSIONS'!N9+'13063_HOWLAND'!N9+'14766_WHITTEMORE'!N9+'13070_HAPPYVALLEY'!N9+'13113_CABIN2'!N9+'13137_CABIN1'!N9+'13061_PRESSERWEST'!N9+'13085_POTTERY'!N9+'13491_MAINT'!N9+'13645_MARLNORTH'!N9+'17736_OUTOFWAY'!F9</f>
        <v>13209.929999999998</v>
      </c>
      <c r="O10" s="107">
        <f>'14747_NEWMAINT'!O9+'13112_PERRINE'!O9+'13057_THEATER'!O9++'13059_AUD'!O9+'13068_HENDRICKS'!O9+'13081_COT4'!O9+'13080_COT3'!O9+'13058_DALRYMPLE'!O9+'13065_HALFWAY'!O9+'13060_LIBRARY'!O9+'13067_RANDOMNORTH'!O9+'13077_HAPPYVALLEY'!O9+'13069_CAMPUSCENTER'!O9+'13072_COT5'!O9+'13073_PRESSER'!O9+'13083_MUMFORD'!O9+'13078_COT1'!O9+'13079_COT2'!O9+'13064_SCHRADER'!O9+'13066_ALLTHEWAY'!O9+'13056_DININGHALL'!O9+'13062_SCIENCEBLDG'!O9+'13074_APPLETREE'!O9+'13084_REDHOUSE'!O9+'13082_MACHOUSE'!O9+'13071_RANDOMSOUTH'!O9+'13075_ADMISSIONS'!O9+'13063_HOWLAND'!O9+'14766_WHITTEMORE'!O9+'13070_HAPPYVALLEY'!O9+'13113_CABIN2'!O9+'13137_CABIN1'!O9+'13061_PRESSERWEST'!O9+'13085_POTTERY'!O9+'13491_MAINT'!O9+'13645_MARLNORTH'!O9</f>
        <v>11971.700000000003</v>
      </c>
      <c r="P10" s="132">
        <f>'13056_DININGHALL'!P9+'13057_THEATER'!P9+'13058_DALRYMPLE'!P9+'13059_AUD'!P9+'13060_LIBRARY'!P9+'13061_PRESSERWEST'!P9+'13062_SCIENCEBLDG'!P9+'13063_HOWLAND'!P9+'13064_SCHRADER'!P9+'13065_HALFWAY'!P9+'13066_ALLTHEWAY'!P9+'13067_RANDOMNORTH'!P9+'13068_HENDRICKS'!P9+'13069_CAMPUSCENTER'!P9+'13070_HAPPYVALLEY'!P9+'13071_RANDOMSOUTH'!P9+'13072_COT5'!P9+'13074_APPLETREE'!P9+'13075_ADMISSIONS'!P9+'13077_HAPPYVALLEY'!P9+'13078_COT1'!P9+'13079_COT2'!P9+'13080_COT3'!P9+'13081_COT4'!P9+'13082_MACHOUSE'!P9+'13083_MUMFORD'!P9+'13084_REDHOUSE'!P9+'13085_POTTERY'!P9+'13112_PERRINE'!P9+'13113_CABIN2'!P9+'13137_CABIN1'!P9+'13491_MAINT'!P9+'13645_MARLNORTH'!P9+'14747_NEWMAINT'!P9+'14766_WHITTEMORE'!P9+'17736_OUTOFWAY'!H9+'21054_COT6'!B9</f>
        <v>25002.54999999999</v>
      </c>
      <c r="Q10" s="174">
        <f>'13056_DININGHALL'!Q9+'13057_THEATER'!Q9+'13058_DALRYMPLE'!Q9+'13059_AUD'!Q9+'13060_LIBRARY'!Q9+'13061_PRESSERWEST'!Q9+'13062_SCIENCEBLDG'!Q9+'13063_HOWLAND'!Q9+'13064_SCHRADER'!Q9+'13065_HALFWAY'!Q9+'13066_ALLTHEWAY'!Q9+'13067_RANDOMNORTH'!Q9+'13068_HENDRICKS'!Q9+'13069_CAMPUSCENTER'!Q9+'13070_HAPPYVALLEY'!Q9+'13071_RANDOMSOUTH'!Q9+'13072_COT5'!Q9+'13074_APPLETREE'!Q9+'13075_ADMISSIONS'!Q9+'13077_HAPPYVALLEY'!Q9+'13078_COT1'!Q9+'13079_COT2'!Q9+'13080_COT3'!Q9+'13081_COT4'!Q9+'13082_MACHOUSE'!Q9+'13083_MUMFORD'!Q9+'13084_REDHOUSE'!Q9+'13085_POTTERY'!Q9+'13112_PERRINE'!Q9+'13113_CABIN2'!Q9+'13137_CABIN1'!Q9+'13491_MAINT'!Q9+'13645_MARLNORTH'!Q9+'14747_NEWMAINT'!Q9+'14766_WHITTEMORE'!Q9+'17736_OUTOFWAY'!I9+'21054_COT6'!C9</f>
        <v>16807.139999999996</v>
      </c>
      <c r="R10" s="132">
        <f>'14747_NEWMAINT'!R9+'13112_PERRINE'!R9+'13057_THEATER'!R9++'13059_AUD'!R9+'13068_HENDRICKS'!R9+'13081_COT4'!R9+'13080_COT3'!R9+'13058_DALRYMPLE'!R9+'13065_HALFWAY'!R9+'13060_LIBRARY'!R9+'13067_RANDOMNORTH'!R9+'13077_HAPPYVALLEY'!R9+'13069_CAMPUSCENTER'!R9+'13072_COT5'!R9+'13073_PRESSER'!R9+'13083_MUMFORD'!R9+'13078_COT1'!R9+'13079_COT2'!R9+'13064_SCHRADER'!R9+'13066_ALLTHEWAY'!R9+'13056_DININGHALL'!R9+'13062_SCIENCEBLDG'!R9+'13074_APPLETREE'!R9+'13084_REDHOUSE'!R9+'13082_MACHOUSE'!R9+'13071_RANDOMSOUTH'!R9+'13075_ADMISSIONS'!R9+'13063_HOWLAND'!R9+'14766_WHITTEMORE'!R9+'13070_HAPPYVALLEY'!R9+'13113_CABIN2'!R9+'13137_CABIN1'!R9+'13061_PRESSERWEST'!R9+'13085_POTTERY'!R9+'13491_MAINT'!R9+'13645_MARLNORTH'!R9+'17736_OUTOFWAY'!J9</f>
        <v>28550.62</v>
      </c>
      <c r="S10" s="107">
        <f>'14747_NEWMAINT'!S9+'13112_PERRINE'!S9+'13057_THEATER'!S9++'13059_AUD'!S9+'13068_HENDRICKS'!S9+'13081_COT4'!S9+'13080_COT3'!S9+'13058_DALRYMPLE'!S9+'13065_HALFWAY'!S9+'13060_LIBRARY'!S9+'13067_RANDOMNORTH'!S9+'13077_HAPPYVALLEY'!S9+'13069_CAMPUSCENTER'!S9+'13072_COT5'!S9+'13073_PRESSER'!S9+'13083_MUMFORD'!S9+'13078_COT1'!S9+'13079_COT2'!S9+'13064_SCHRADER'!S9+'13066_ALLTHEWAY'!S9+'13056_DININGHALL'!S9+'13062_SCIENCEBLDG'!S9+'13074_APPLETREE'!S9+'13084_REDHOUSE'!S9+'13082_MACHOUSE'!S9+'13071_RANDOMSOUTH'!S9+'13075_ADMISSIONS'!S9+'13063_HOWLAND'!S9+'14766_WHITTEMORE'!S9+'13070_HAPPYVALLEY'!S9+'13113_CABIN2'!S9+'13137_CABIN1'!S9+'13061_PRESSERWEST'!S9+'13085_POTTERY'!S9+'13491_MAINT'!S9+'13645_MARLNORTH'!S9</f>
        <v>13287.5</v>
      </c>
      <c r="T10" s="132">
        <f>'14747_NEWMAINT'!T9+'13112_PERRINE'!T9+'13057_THEATER'!T9++'13059_AUD'!T9+'13068_HENDRICKS'!T9+'13081_COT4'!T9+'13080_COT3'!T9+'13058_DALRYMPLE'!T9+'13065_HALFWAY'!T9+'13060_LIBRARY'!T9+'13067_RANDOMNORTH'!T9+'13077_HAPPYVALLEY'!T9+'13069_CAMPUSCENTER'!T9+'13072_COT5'!T9+'13073_PRESSER'!T9+'13083_MUMFORD'!T9+'13078_COT1'!T9+'13079_COT2'!T9+'13064_SCHRADER'!T9+'13066_ALLTHEWAY'!T9+'13056_DININGHALL'!T9+'13062_SCIENCEBLDG'!T9+'13074_APPLETREE'!T9+'13084_REDHOUSE'!T9+'13082_MACHOUSE'!T9+'13071_RANDOMSOUTH'!T9+'13075_ADMISSIONS'!T9+'13063_HOWLAND'!T9+'14766_WHITTEMORE'!T9+'13070_HAPPYVALLEY'!T9+'13113_CABIN2'!T9+'13137_CABIN1'!T9+'13061_PRESSERWEST'!T9+'13085_POTTERY'!T9+'13491_MAINT'!T9+'13645_MARLNORTH'!T9+'17736_OUTOFWAY'!L9</f>
        <v>30735.99</v>
      </c>
      <c r="U10" s="107">
        <f>'14747_NEWMAINT'!U9+'13112_PERRINE'!U9+'13057_THEATER'!U9++'13059_AUD'!U9+'13068_HENDRICKS'!U9+'13081_COT4'!U9+'13080_COT3'!U9+'13058_DALRYMPLE'!U9+'13065_HALFWAY'!U9+'13060_LIBRARY'!U9+'13067_RANDOMNORTH'!U9+'13077_HAPPYVALLEY'!U9+'13069_CAMPUSCENTER'!U9+'13072_COT5'!U9+'13073_PRESSER'!U9+'13083_MUMFORD'!U9+'13078_COT1'!U9+'13079_COT2'!U9+'13064_SCHRADER'!U9+'13066_ALLTHEWAY'!U9+'13056_DININGHALL'!U9+'13062_SCIENCEBLDG'!U9+'13074_APPLETREE'!U9+'13084_REDHOUSE'!U9+'13082_MACHOUSE'!U9+'13071_RANDOMSOUTH'!U9+'13075_ADMISSIONS'!U9+'13063_HOWLAND'!U9+'14766_WHITTEMORE'!U9+'13070_HAPPYVALLEY'!U9+'13113_CABIN2'!U9+'13137_CABIN1'!U9+'13061_PRESSERWEST'!U9+'13085_POTTERY'!U9+'13491_MAINT'!U9+'13645_MARLNORTH'!U9</f>
        <v>12202.000000000004</v>
      </c>
    </row>
    <row r="11" spans="1:21" ht="15">
      <c r="A11" s="2" t="s">
        <v>12</v>
      </c>
      <c r="B11" s="73">
        <f>'14747_NEWMAINT'!B10+'13112_PERRINE'!B10+'13057_THEATER'!B10++'13059_AUD'!B10+'13068_HENDRICKS'!B10+'13081_COT4'!B10+'13080_COT3'!B10+'13058_DALRYMPLE'!B10+'13065_HALFWAY'!B10+'13060_LIBRARY'!B10+'13067_RANDOMNORTH'!B10+'13077_HAPPYVALLEY'!B10+'13069_CAMPUSCENTER'!B10+'13072_COT5'!B10+'13073_PRESSER'!B10+'13083_MUMFORD'!B10+'13078_COT1'!B10+'13079_COT2'!B10+'13064_SCHRADER'!B10+'13066_ALLTHEWAY'!B10+'13056_DININGHALL'!B10+'13062_SCIENCEBLDG'!B10+'13074_APPLETREE'!B10+'13084_REDHOUSE'!B10+'13082_MACHOUSE'!B10+'13071_RANDOMSOUTH'!B10+'13075_ADMISSIONS'!B10+'13063_HOWLAND'!B10+'14766_WHITTEMORE'!B10+'13070_HAPPYVALLEY'!B10+'13113_CABIN2'!B10+'13137_CABIN1'!B10+'13061_PRESSERWEST'!B10+'13085_POTTERY'!B10</f>
        <v>0</v>
      </c>
      <c r="C11" s="108">
        <f>'14747_NEWMAINT'!C10+'13112_PERRINE'!C10+'13057_THEATER'!C10++'13059_AUD'!C10+'13068_HENDRICKS'!C10+'13081_COT4'!C10+'13080_COT3'!C10+'13058_DALRYMPLE'!C10+'13065_HALFWAY'!C10+'13060_LIBRARY'!C10+'13067_RANDOMNORTH'!C10+'13077_HAPPYVALLEY'!C10+'13069_CAMPUSCENTER'!C10+'13072_COT5'!C10+'13073_PRESSER'!C10+'13083_MUMFORD'!C10+'13078_COT1'!C10+'13079_COT2'!C10+'13064_SCHRADER'!C10+'13066_ALLTHEWAY'!C10+'13056_DININGHALL'!C10+'13062_SCIENCEBLDG'!C10+'13074_APPLETREE'!C10+'13084_REDHOUSE'!C10+'13082_MACHOUSE'!C10+'13071_RANDOMSOUTH'!C10+'13075_ADMISSIONS'!C10+'13063_HOWLAND'!C10+'14766_WHITTEMORE'!C10+'13070_HAPPYVALLEY'!C10+'13113_CABIN2'!C10+'13137_CABIN1'!C10+'13061_PRESSERWEST'!C10+'13085_POTTERY'!C10</f>
        <v>0</v>
      </c>
      <c r="D11" s="73">
        <f>'14747_NEWMAINT'!D10+'13112_PERRINE'!D10+'13057_THEATER'!D10++'13059_AUD'!D10+'13068_HENDRICKS'!D10+'13081_COT4'!D10+'13080_COT3'!D10+'13058_DALRYMPLE'!D10+'13065_HALFWAY'!D10+'13060_LIBRARY'!D10+'13067_RANDOMNORTH'!D10+'13077_HAPPYVALLEY'!D10+'13069_CAMPUSCENTER'!D10+'13072_COT5'!D10+'13073_PRESSER'!D10+'13083_MUMFORD'!D10+'13078_COT1'!D10+'13079_COT2'!D10+'13064_SCHRADER'!D10+'13066_ALLTHEWAY'!D10+'13056_DININGHALL'!D10+'13062_SCIENCEBLDG'!D10+'13074_APPLETREE'!D10+'13084_REDHOUSE'!D10+'13082_MACHOUSE'!D10+'13071_RANDOMSOUTH'!D10+'13075_ADMISSIONS'!D10+'13063_HOWLAND'!D10+'14766_WHITTEMORE'!D10+'13070_HAPPYVALLEY'!D10+'13113_CABIN2'!D10+'13137_CABIN1'!D10+'13061_PRESSERWEST'!D10+'13085_POTTERY'!D10+'13491_MAINT'!D10+'13645_MARLNORTH'!D10</f>
        <v>4801.72</v>
      </c>
      <c r="E11" s="107">
        <f>'14747_NEWMAINT'!E10+'13112_PERRINE'!E10+'13057_THEATER'!E10++'13059_AUD'!E10+'13068_HENDRICKS'!E10+'13081_COT4'!E10+'13080_COT3'!E10+'13058_DALRYMPLE'!E10+'13065_HALFWAY'!E10+'13060_LIBRARY'!E10+'13067_RANDOMNORTH'!E10+'13077_HAPPYVALLEY'!E10+'13069_CAMPUSCENTER'!E10+'13072_COT5'!E10+'13073_PRESSER'!E10+'13083_MUMFORD'!E10+'13078_COT1'!E10+'13079_COT2'!E10+'13064_SCHRADER'!E10+'13066_ALLTHEWAY'!E10+'13056_DININGHALL'!E10+'13062_SCIENCEBLDG'!E10+'13074_APPLETREE'!E10+'13084_REDHOUSE'!E10+'13082_MACHOUSE'!E10+'13071_RANDOMSOUTH'!E10+'13075_ADMISSIONS'!E10+'13063_HOWLAND'!E10+'14766_WHITTEMORE'!E10+'13070_HAPPYVALLEY'!E10+'13113_CABIN2'!E10+'13137_CABIN1'!E10+'13061_PRESSERWEST'!E10+'13085_POTTERY'!E10+'13491_MAINT'!E10+'13645_MARLNORTH'!E10</f>
        <v>7854.490000000001</v>
      </c>
      <c r="F11" s="73">
        <f>'14747_NEWMAINT'!F10+'13112_PERRINE'!F10+'13057_THEATER'!F10++'13059_AUD'!F10+'13068_HENDRICKS'!F10+'13081_COT4'!F10+'13080_COT3'!F10+'13058_DALRYMPLE'!F10+'13065_HALFWAY'!F10+'13060_LIBRARY'!F10+'13067_RANDOMNORTH'!F10+'13077_HAPPYVALLEY'!F10+'13069_CAMPUSCENTER'!F10+'13072_COT5'!F10+'13073_PRESSER'!F10+'13083_MUMFORD'!F10+'13078_COT1'!F10+'13079_COT2'!F10+'13064_SCHRADER'!F10+'13066_ALLTHEWAY'!F10+'13056_DININGHALL'!F10+'13062_SCIENCEBLDG'!F10+'13074_APPLETREE'!F10+'13084_REDHOUSE'!F10+'13082_MACHOUSE'!F10+'13071_RANDOMSOUTH'!F10+'13075_ADMISSIONS'!F10+'13063_HOWLAND'!F10+'14766_WHITTEMORE'!F10+'13070_HAPPYVALLEY'!F10+'13113_CABIN2'!F10+'13137_CABIN1'!F10+'13061_PRESSERWEST'!F10+'13085_POTTERY'!F10+'13491_MAINT'!F10+'13645_MARLNORTH'!F10</f>
        <v>9859.66</v>
      </c>
      <c r="G11" s="107">
        <f>'14747_NEWMAINT'!G10+'13112_PERRINE'!G10+'13057_THEATER'!G10++'13059_AUD'!G10+'13068_HENDRICKS'!G10+'13081_COT4'!G10+'13080_COT3'!G10+'13058_DALRYMPLE'!G10+'13065_HALFWAY'!G10+'13060_LIBRARY'!G10+'13067_RANDOMNORTH'!G10+'13077_HAPPYVALLEY'!G10+'13069_CAMPUSCENTER'!G10+'13072_COT5'!G10+'13073_PRESSER'!G10+'13083_MUMFORD'!G10+'13078_COT1'!G10+'13079_COT2'!G10+'13064_SCHRADER'!G10+'13066_ALLTHEWAY'!G10+'13056_DININGHALL'!G10+'13062_SCIENCEBLDG'!G10+'13074_APPLETREE'!G10+'13084_REDHOUSE'!G10+'13082_MACHOUSE'!G10+'13071_RANDOMSOUTH'!G10+'13075_ADMISSIONS'!G10+'13063_HOWLAND'!G10+'14766_WHITTEMORE'!G10+'13070_HAPPYVALLEY'!G10+'13113_CABIN2'!G10+'13137_CABIN1'!G10+'13061_PRESSERWEST'!G10+'13085_POTTERY'!G10+'13491_MAINT'!G10+'13645_MARLNORTH'!G10</f>
        <v>10472.670000000002</v>
      </c>
      <c r="H11" s="130">
        <f>'14747_NEWMAINT'!H10+'13112_PERRINE'!H10+'13057_THEATER'!H10++'13059_AUD'!H10+'13068_HENDRICKS'!H10+'13081_COT4'!H10+'13080_COT3'!H10+'13058_DALRYMPLE'!H10+'13065_HALFWAY'!H10+'13060_LIBRARY'!H10+'13067_RANDOMNORTH'!H10+'13077_HAPPYVALLEY'!H10+'13069_CAMPUSCENTER'!H10+'13072_COT5'!H10+'13073_PRESSER'!H10+'13083_MUMFORD'!H10+'13078_COT1'!H10+'13079_COT2'!H10+'13064_SCHRADER'!H10+'13066_ALLTHEWAY'!H10+'13056_DININGHALL'!H10+'13062_SCIENCEBLDG'!H10+'13074_APPLETREE'!H10+'13084_REDHOUSE'!H10+'13082_MACHOUSE'!H10+'13071_RANDOMSOUTH'!H10+'13075_ADMISSIONS'!H10+'13063_HOWLAND'!H10+'14766_WHITTEMORE'!H10+'13070_HAPPYVALLEY'!H10+'13113_CABIN2'!H10+'13137_CABIN1'!H10+'13061_PRESSERWEST'!H10+'13085_POTTERY'!H10+'13491_MAINT'!H10+'13645_MARLNORTH'!H10</f>
        <v>9723.479999999998</v>
      </c>
      <c r="I11" s="107">
        <f>'14747_NEWMAINT'!I10+'13112_PERRINE'!I10+'13057_THEATER'!I10++'13059_AUD'!I10+'13068_HENDRICKS'!I10+'13081_COT4'!I10+'13080_COT3'!I10+'13058_DALRYMPLE'!I10+'13065_HALFWAY'!I10+'13060_LIBRARY'!I10+'13067_RANDOMNORTH'!I10+'13077_HAPPYVALLEY'!I10+'13069_CAMPUSCENTER'!I10+'13072_COT5'!I10+'13073_PRESSER'!I10+'13083_MUMFORD'!I10+'13078_COT1'!I10+'13079_COT2'!I10+'13064_SCHRADER'!I10+'13066_ALLTHEWAY'!I10+'13056_DININGHALL'!I10+'13062_SCIENCEBLDG'!I10+'13074_APPLETREE'!I10+'13084_REDHOUSE'!I10+'13082_MACHOUSE'!I10+'13071_RANDOMSOUTH'!I10+'13075_ADMISSIONS'!I10+'13063_HOWLAND'!I10+'14766_WHITTEMORE'!I10+'13070_HAPPYVALLEY'!I10+'13113_CABIN2'!I10+'13137_CABIN1'!I10+'13061_PRESSERWEST'!I10+'13085_POTTERY'!I10+'13491_MAINT'!I10+'13645_MARLNORTH'!I10</f>
        <v>8157.000000000002</v>
      </c>
      <c r="J11" s="130">
        <f>'14747_NEWMAINT'!J10+'13112_PERRINE'!J10+'13057_THEATER'!J10+'13059_AUD'!J10+'13068_HENDRICKS'!J10+'13081_COT4'!J10+'13080_COT3'!J10+'13058_DALRYMPLE'!J10+'13065_HALFWAY'!J10+'13060_LIBRARY'!J10+'13067_RANDOMNORTH'!J10+'13077_HAPPYVALLEY'!J10+'13069_CAMPUSCENTER'!J10+'13072_COT5'!J10+'13073_PRESSER'!J10+'13083_MUMFORD'!J10+'13078_COT1'!J10+'13079_COT2'!J10+'13064_SCHRADER'!J10+'13066_ALLTHEWAY'!J10+'13056_DININGHALL'!J10+'13062_SCIENCEBLDG'!J10+'13074_APPLETREE'!J10+'13084_REDHOUSE'!J10+'13082_MACHOUSE'!J10+'13071_RANDOMSOUTH'!J10+'13075_ADMISSIONS'!J10+'13063_HOWLAND'!J10+'14766_WHITTEMORE'!J10+'13070_HAPPYVALLEY'!J10+'13113_CABIN2'!J10+'13137_CABIN1'!J10+'13061_PRESSERWEST'!J10+'13085_POTTERY'!J10+'13491_MAINT'!J10+'13645_MARLNORTH'!J10+'17736_OUTOFWAY'!B10</f>
        <v>8418.170000000002</v>
      </c>
      <c r="K11" s="107">
        <f>'14747_NEWMAINT'!K10+'13112_PERRINE'!K10+'13057_THEATER'!K10+'13059_AUD'!K10+'13068_HENDRICKS'!K10+'13081_COT4'!K10+'13080_COT3'!K10+'13058_DALRYMPLE'!K10+'13065_HALFWAY'!K10+'13060_LIBRARY'!K10+'13067_RANDOMNORTH'!K10+'13077_HAPPYVALLEY'!K10+'13069_CAMPUSCENTER'!K10+'13072_COT5'!K10+'13073_PRESSER'!K10+'13083_MUMFORD'!K10+'13078_COT1'!K10+'13079_COT2'!K10+'13064_SCHRADER'!K10+'13066_ALLTHEWAY'!K10+'13056_DININGHALL'!K10+'13062_SCIENCEBLDG'!K10+'13074_APPLETREE'!K10+'13084_REDHOUSE'!K10+'13082_MACHOUSE'!K10+'13071_RANDOMSOUTH'!K10+'13075_ADMISSIONS'!K10+'13063_HOWLAND'!K10+'14766_WHITTEMORE'!K10+'13070_HAPPYVALLEY'!K10+'13113_CABIN2'!K10+'13137_CABIN1'!K10+'13061_PRESSERWEST'!K10+'13085_POTTERY'!K10+'13491_MAINT'!K10+'13645_MARLNORTH'!K10+'17736_OUTOFWAY'!C10</f>
        <v>8073.200000000001</v>
      </c>
      <c r="L11" s="132">
        <f>'14747_NEWMAINT'!L10+'13112_PERRINE'!L10+'13057_THEATER'!L10++'13059_AUD'!L10+'13068_HENDRICKS'!L10+'13081_COT4'!L10+'13080_COT3'!L10+'13058_DALRYMPLE'!L10+'13065_HALFWAY'!L10+'13060_LIBRARY'!L10+'13067_RANDOMNORTH'!L10+'13077_HAPPYVALLEY'!L10+'13069_CAMPUSCENTER'!L10+'13072_COT5'!L10+'13073_PRESSER'!L10+'13083_MUMFORD'!L10+'13078_COT1'!L10+'13079_COT2'!L10+'13064_SCHRADER'!L10+'13066_ALLTHEWAY'!L10+'13056_DININGHALL'!L10+'13062_SCIENCEBLDG'!L10+'13074_APPLETREE'!L10+'13084_REDHOUSE'!L10+'13082_MACHOUSE'!L10+'13071_RANDOMSOUTH'!L10+'13075_ADMISSIONS'!L10+'13063_HOWLAND'!L10+'14766_WHITTEMORE'!L10+'13070_HAPPYVALLEY'!L10+'13113_CABIN2'!L10+'13137_CABIN1'!L10+'13061_PRESSERWEST'!L10+'13085_POTTERY'!L10+'13491_MAINT'!L10+'13645_MARLNORTH'!L10+'17736_OUTOFWAY'!D10</f>
        <v>8799.58</v>
      </c>
      <c r="M11" s="107">
        <f>'14747_NEWMAINT'!M10+'13112_PERRINE'!M10+'13057_THEATER'!M10++'13059_AUD'!M10+'13068_HENDRICKS'!M10+'13081_COT4'!M10+'13080_COT3'!M10+'13058_DALRYMPLE'!M10+'13065_HALFWAY'!M10+'13060_LIBRARY'!M10+'13067_RANDOMNORTH'!M10+'13077_HAPPYVALLEY'!M10+'13069_CAMPUSCENTER'!M10+'13072_COT5'!M10+'13073_PRESSER'!M10+'13083_MUMFORD'!M10+'13078_COT1'!M10+'13079_COT2'!M10+'13064_SCHRADER'!M10+'13066_ALLTHEWAY'!M10+'13056_DININGHALL'!M10+'13062_SCIENCEBLDG'!M10+'13074_APPLETREE'!M10+'13084_REDHOUSE'!M10+'13082_MACHOUSE'!M10+'13071_RANDOMSOUTH'!M10+'13075_ADMISSIONS'!M10+'13063_HOWLAND'!M10+'14766_WHITTEMORE'!M10+'13070_HAPPYVALLEY'!M10+'13113_CABIN2'!M10+'13137_CABIN1'!M10+'13061_PRESSERWEST'!M10+'13085_POTTERY'!M10+'13491_MAINT'!M10+'13645_MARLNORTH'!M10</f>
        <v>9030.6</v>
      </c>
      <c r="N11" s="132">
        <f>'14747_NEWMAINT'!N10+'13112_PERRINE'!N10+'13057_THEATER'!N10++'13059_AUD'!N10+'13068_HENDRICKS'!N10+'13081_COT4'!N10+'13080_COT3'!N10+'13058_DALRYMPLE'!N10+'13065_HALFWAY'!N10+'13060_LIBRARY'!N10+'13067_RANDOMNORTH'!N10+'13077_HAPPYVALLEY'!N10+'13069_CAMPUSCENTER'!N10+'13072_COT5'!N10+'13073_PRESSER'!N10+'13083_MUMFORD'!N10+'13078_COT1'!N10+'13079_COT2'!N10+'13064_SCHRADER'!N10+'13066_ALLTHEWAY'!N10+'13056_DININGHALL'!N10+'13062_SCIENCEBLDG'!N10+'13074_APPLETREE'!N10+'13084_REDHOUSE'!N10+'13082_MACHOUSE'!N10+'13071_RANDOMSOUTH'!N10+'13075_ADMISSIONS'!N10+'13063_HOWLAND'!N10+'14766_WHITTEMORE'!N10+'13070_HAPPYVALLEY'!N10+'13113_CABIN2'!N10+'13137_CABIN1'!N10+'13061_PRESSERWEST'!N10+'13085_POTTERY'!N10+'13491_MAINT'!N10+'13645_MARLNORTH'!N10+'17736_OUTOFWAY'!F10</f>
        <v>10849.789999999997</v>
      </c>
      <c r="O11" s="107">
        <f>'14747_NEWMAINT'!O10+'13112_PERRINE'!O10+'13057_THEATER'!O10++'13059_AUD'!O10+'13068_HENDRICKS'!O10+'13081_COT4'!O10+'13080_COT3'!O10+'13058_DALRYMPLE'!O10+'13065_HALFWAY'!O10+'13060_LIBRARY'!O10+'13067_RANDOMNORTH'!O10+'13077_HAPPYVALLEY'!O10+'13069_CAMPUSCENTER'!O10+'13072_COT5'!O10+'13073_PRESSER'!O10+'13083_MUMFORD'!O10+'13078_COT1'!O10+'13079_COT2'!O10+'13064_SCHRADER'!O10+'13066_ALLTHEWAY'!O10+'13056_DININGHALL'!O10+'13062_SCIENCEBLDG'!O10+'13074_APPLETREE'!O10+'13084_REDHOUSE'!O10+'13082_MACHOUSE'!O10+'13071_RANDOMSOUTH'!O10+'13075_ADMISSIONS'!O10+'13063_HOWLAND'!O10+'14766_WHITTEMORE'!O10+'13070_HAPPYVALLEY'!O10+'13113_CABIN2'!O10+'13137_CABIN1'!O10+'13061_PRESSERWEST'!O10+'13085_POTTERY'!O10+'13491_MAINT'!O10+'13645_MARLNORTH'!O10</f>
        <v>9655.590000000002</v>
      </c>
      <c r="P11" s="132">
        <f>'13056_DININGHALL'!P10+'13057_THEATER'!P10+'13058_DALRYMPLE'!P10+'13059_AUD'!P10+'13060_LIBRARY'!P10+'13061_PRESSERWEST'!P10+'13062_SCIENCEBLDG'!P10+'13063_HOWLAND'!P10+'13064_SCHRADER'!P10+'13065_HALFWAY'!P10+'13066_ALLTHEWAY'!P10+'13067_RANDOMNORTH'!P10+'13068_HENDRICKS'!P10+'13069_CAMPUSCENTER'!P10+'13070_HAPPYVALLEY'!P10+'13071_RANDOMSOUTH'!P10+'13072_COT5'!P10+'13074_APPLETREE'!P10+'13075_ADMISSIONS'!P10+'13077_HAPPYVALLEY'!P10+'13078_COT1'!P10+'13079_COT2'!P10+'13080_COT3'!P10+'13081_COT4'!P10+'13082_MACHOUSE'!P10+'13083_MUMFORD'!P10+'13084_REDHOUSE'!P10+'13085_POTTERY'!P10+'13112_PERRINE'!P10+'13113_CABIN2'!P10+'13137_CABIN1'!P10+'13491_MAINT'!P10+'13645_MARLNORTH'!P10+'14747_NEWMAINT'!P10+'14766_WHITTEMORE'!P10+'17736_OUTOFWAY'!H10+'21054_COT6'!B10</f>
        <v>14273.540000000003</v>
      </c>
      <c r="Q11" s="174">
        <f>'13056_DININGHALL'!Q10+'13057_THEATER'!Q10+'13058_DALRYMPLE'!Q10+'13059_AUD'!Q10+'13060_LIBRARY'!Q10+'13061_PRESSERWEST'!Q10+'13062_SCIENCEBLDG'!Q10+'13063_HOWLAND'!Q10+'13064_SCHRADER'!Q10+'13065_HALFWAY'!Q10+'13066_ALLTHEWAY'!Q10+'13067_RANDOMNORTH'!Q10+'13068_HENDRICKS'!Q10+'13069_CAMPUSCENTER'!Q10+'13070_HAPPYVALLEY'!Q10+'13071_RANDOMSOUTH'!Q10+'13072_COT5'!Q10+'13074_APPLETREE'!Q10+'13075_ADMISSIONS'!Q10+'13077_HAPPYVALLEY'!Q10+'13078_COT1'!Q10+'13079_COT2'!Q10+'13080_COT3'!Q10+'13081_COT4'!Q10+'13082_MACHOUSE'!Q10+'13083_MUMFORD'!Q10+'13084_REDHOUSE'!Q10+'13085_POTTERY'!Q10+'13112_PERRINE'!Q10+'13113_CABIN2'!Q10+'13137_CABIN1'!Q10+'13491_MAINT'!Q10+'13645_MARLNORTH'!Q10+'14747_NEWMAINT'!Q10+'14766_WHITTEMORE'!Q10+'17736_OUTOFWAY'!I10+'21054_COT6'!C10</f>
        <v>8808.000000000002</v>
      </c>
      <c r="R11" s="132">
        <f>'14747_NEWMAINT'!R10+'13112_PERRINE'!R10+'13057_THEATER'!R10++'13059_AUD'!R10+'13068_HENDRICKS'!R10+'13081_COT4'!R10+'13080_COT3'!R10+'13058_DALRYMPLE'!R10+'13065_HALFWAY'!R10+'13060_LIBRARY'!R10+'13067_RANDOMNORTH'!R10+'13077_HAPPYVALLEY'!R10+'13069_CAMPUSCENTER'!R10+'13072_COT5'!R10+'13073_PRESSER'!R10+'13083_MUMFORD'!R10+'13079_COT2'!R9+'13079_COT2'!R10+'13064_SCHRADER'!R10+'13066_ALLTHEWAY'!R10+'13056_DININGHALL'!R10+'13062_SCIENCEBLDG'!R10+'13074_APPLETREE'!R10+'13084_REDHOUSE'!R10+'13082_MACHOUSE'!R10+'13071_RANDOMSOUTH'!R10+'13075_ADMISSIONS'!R10+'13063_HOWLAND'!R10+'14766_WHITTEMORE'!R10+'13070_HAPPYVALLEY'!R10+'13113_CABIN2'!R10+'13137_CABIN1'!R10+'13061_PRESSERWEST'!R10+'13085_POTTERY'!R10+'13491_MAINT'!R10+'13645_MARLNORTH'!R10+'17736_OUTOFWAY'!J10</f>
        <v>17973.190000000002</v>
      </c>
      <c r="S11" s="107">
        <f>'14747_NEWMAINT'!S10+'13112_PERRINE'!S10+'13057_THEATER'!S10++'13059_AUD'!S10+'13068_HENDRICKS'!S10+'13081_COT4'!S10+'13080_COT3'!S10+'13058_DALRYMPLE'!S10+'13065_HALFWAY'!S10+'13060_LIBRARY'!S10+'13067_RANDOMNORTH'!S10+'13077_HAPPYVALLEY'!S10+'13069_CAMPUSCENTER'!S10+'13072_COT5'!S10+'13073_PRESSER'!S10+'13083_MUMFORD'!S10+'13079_COT2'!S9+'13079_COT2'!S10+'13064_SCHRADER'!S10+'13066_ALLTHEWAY'!S10+'13056_DININGHALL'!S10+'13062_SCIENCEBLDG'!S10+'13074_APPLETREE'!S10+'13084_REDHOUSE'!S10+'13082_MACHOUSE'!S10+'13071_RANDOMSOUTH'!S10+'13075_ADMISSIONS'!S10+'13063_HOWLAND'!S10+'14766_WHITTEMORE'!S10+'13070_HAPPYVALLEY'!S10+'13113_CABIN2'!S10+'13137_CABIN1'!S10+'13061_PRESSERWEST'!S10+'13085_POTTERY'!S10+'13491_MAINT'!S10+'13645_MARLNORTH'!S10</f>
        <v>8397.300000000001</v>
      </c>
      <c r="T11" s="132">
        <f>'14747_NEWMAINT'!T10+'13112_PERRINE'!T10+'13057_THEATER'!T10++'13059_AUD'!T10+'13068_HENDRICKS'!T10+'13081_COT4'!T10+'13080_COT3'!T10+'13058_DALRYMPLE'!T10+'13065_HALFWAY'!T10+'13060_LIBRARY'!T10+'13067_RANDOMNORTH'!T10+'13077_HAPPYVALLEY'!T10+'13069_CAMPUSCENTER'!T10+'13072_COT5'!T10+'13073_PRESSER'!T10+'13083_MUMFORD'!T10+'13079_COT2'!T9+'13079_COT2'!T10+'13064_SCHRADER'!T10+'13066_ALLTHEWAY'!T10+'13056_DININGHALL'!T10+'13062_SCIENCEBLDG'!T10+'13074_APPLETREE'!T10+'13084_REDHOUSE'!T10+'13082_MACHOUSE'!T10+'13071_RANDOMSOUTH'!T10+'13075_ADMISSIONS'!T10+'13063_HOWLAND'!T10+'14766_WHITTEMORE'!T10+'13070_HAPPYVALLEY'!T10+'13113_CABIN2'!T10+'13137_CABIN1'!T10+'13061_PRESSERWEST'!T10+'13085_POTTERY'!T10+'13491_MAINT'!T10+'13645_MARLNORTH'!T10+'17736_OUTOFWAY'!L10</f>
        <v>12099.26</v>
      </c>
      <c r="U11" s="107">
        <f>'14747_NEWMAINT'!U10+'13112_PERRINE'!U10+'13057_THEATER'!U10++'13059_AUD'!U10+'13068_HENDRICKS'!U10+'13081_COT4'!U10+'13080_COT3'!U10+'13058_DALRYMPLE'!U10+'13065_HALFWAY'!U10+'13060_LIBRARY'!U10+'13067_RANDOMNORTH'!U10+'13077_HAPPYVALLEY'!U10+'13069_CAMPUSCENTER'!U10+'13072_COT5'!U10+'13073_PRESSER'!U10+'13083_MUMFORD'!U10+'13079_COT2'!U9+'13079_COT2'!U10+'13064_SCHRADER'!U10+'13066_ALLTHEWAY'!U10+'13056_DININGHALL'!U10+'13062_SCIENCEBLDG'!U10+'13074_APPLETREE'!U10+'13084_REDHOUSE'!U10+'13082_MACHOUSE'!U10+'13071_RANDOMSOUTH'!U10+'13075_ADMISSIONS'!U10+'13063_HOWLAND'!U10+'14766_WHITTEMORE'!U10+'13070_HAPPYVALLEY'!U10+'13113_CABIN2'!U10+'13137_CABIN1'!U10+'13061_PRESSERWEST'!U10+'13085_POTTERY'!U10+'13491_MAINT'!U10+'13645_MARLNORTH'!U10</f>
        <v>4843.6</v>
      </c>
    </row>
    <row r="12" spans="1:21" ht="15">
      <c r="A12" s="2" t="s">
        <v>13</v>
      </c>
      <c r="B12" s="73">
        <f>'14747_NEWMAINT'!B11+'13112_PERRINE'!B11+'13057_THEATER'!B11++'13059_AUD'!B11+'13068_HENDRICKS'!B11+'13081_COT4'!B11+'13080_COT3'!B11+'13058_DALRYMPLE'!B11+'13065_HALFWAY'!B11+'13060_LIBRARY'!B11+'13067_RANDOMNORTH'!B11+'13077_HAPPYVALLEY'!B11+'13069_CAMPUSCENTER'!B11+'13072_COT5'!B11+'13073_PRESSER'!B11+'13083_MUMFORD'!B11+'13078_COT1'!B11+'13079_COT2'!B11+'13064_SCHRADER'!B11+'13066_ALLTHEWAY'!B11+'13056_DININGHALL'!B11+'13062_SCIENCEBLDG'!B11+'13074_APPLETREE'!B11+'13084_REDHOUSE'!B11+'13082_MACHOUSE'!B11+'13071_RANDOMSOUTH'!B11+'13075_ADMISSIONS'!B11+'13063_HOWLAND'!B11+'14766_WHITTEMORE'!B11+'13070_HAPPYVALLEY'!B11+'13113_CABIN2'!B11+'13137_CABIN1'!B11+'13061_PRESSERWEST'!B11+'13085_POTTERY'!B11</f>
        <v>0</v>
      </c>
      <c r="C12" s="108">
        <f>'14747_NEWMAINT'!C11+'13112_PERRINE'!C11+'13057_THEATER'!C11++'13059_AUD'!C11+'13068_HENDRICKS'!C11+'13081_COT4'!C11+'13080_COT3'!C11+'13058_DALRYMPLE'!C11+'13065_HALFWAY'!C11+'13060_LIBRARY'!C11+'13067_RANDOMNORTH'!C11+'13077_HAPPYVALLEY'!C11+'13069_CAMPUSCENTER'!C11+'13072_COT5'!C11+'13073_PRESSER'!C11+'13083_MUMFORD'!C11+'13078_COT1'!C11+'13079_COT2'!C11+'13064_SCHRADER'!C11+'13066_ALLTHEWAY'!C11+'13056_DININGHALL'!C11+'13062_SCIENCEBLDG'!C11+'13074_APPLETREE'!C11+'13084_REDHOUSE'!C11+'13082_MACHOUSE'!C11+'13071_RANDOMSOUTH'!C11+'13075_ADMISSIONS'!C11+'13063_HOWLAND'!C11+'14766_WHITTEMORE'!C11+'13070_HAPPYVALLEY'!C11+'13113_CABIN2'!C11+'13137_CABIN1'!C11+'13061_PRESSERWEST'!C11+'13085_POTTERY'!C11</f>
        <v>0</v>
      </c>
      <c r="D12" s="73">
        <f>'14747_NEWMAINT'!D11+'13112_PERRINE'!D11+'13057_THEATER'!D11++'13059_AUD'!D11+'13068_HENDRICKS'!D11+'13081_COT4'!D11+'13080_COT3'!D11+'13058_DALRYMPLE'!D11+'13065_HALFWAY'!D11+'13060_LIBRARY'!D11+'13067_RANDOMNORTH'!D11+'13077_HAPPYVALLEY'!D11+'13069_CAMPUSCENTER'!D11+'13072_COT5'!D11+'13073_PRESSER'!D11+'13083_MUMFORD'!D11+'13078_COT1'!D11+'13079_COT2'!D11+'13064_SCHRADER'!D11+'13066_ALLTHEWAY'!D11+'13056_DININGHALL'!D11+'13062_SCIENCEBLDG'!D11+'13074_APPLETREE'!D11+'13084_REDHOUSE'!D11+'13082_MACHOUSE'!D11+'13071_RANDOMSOUTH'!D11+'13075_ADMISSIONS'!D11+'13063_HOWLAND'!D11+'14766_WHITTEMORE'!D11+'13070_HAPPYVALLEY'!D11+'13113_CABIN2'!D11+'13137_CABIN1'!D11+'13061_PRESSERWEST'!D11+'13085_POTTERY'!D11+'13491_MAINT'!D11+'13645_MARLNORTH'!D11</f>
        <v>1937.48</v>
      </c>
      <c r="E12" s="107">
        <f>'14747_NEWMAINT'!E11+'13112_PERRINE'!E11+'13057_THEATER'!E11++'13059_AUD'!E11+'13068_HENDRICKS'!E11+'13081_COT4'!E11+'13080_COT3'!E11+'13058_DALRYMPLE'!E11+'13065_HALFWAY'!E11+'13060_LIBRARY'!E11+'13067_RANDOMNORTH'!E11+'13077_HAPPYVALLEY'!E11+'13069_CAMPUSCENTER'!E11+'13072_COT5'!E11+'13073_PRESSER'!E11+'13083_MUMFORD'!E11+'13078_COT1'!E11+'13079_COT2'!E11+'13064_SCHRADER'!E11+'13066_ALLTHEWAY'!E11+'13056_DININGHALL'!E11+'13062_SCIENCEBLDG'!E11+'13074_APPLETREE'!E11+'13084_REDHOUSE'!E11+'13082_MACHOUSE'!E11+'13071_RANDOMSOUTH'!E11+'13075_ADMISSIONS'!E11+'13063_HOWLAND'!E11+'14766_WHITTEMORE'!E11+'13070_HAPPYVALLEY'!E11+'13113_CABIN2'!E11+'13137_CABIN1'!E11+'13061_PRESSERWEST'!E11+'13085_POTTERY'!E11+'13491_MAINT'!E11+'13645_MARLNORTH'!E11</f>
        <v>3203.3</v>
      </c>
      <c r="F12" s="73">
        <f>'14747_NEWMAINT'!F11+'13112_PERRINE'!F11+'13057_THEATER'!F11++'13059_AUD'!F11+'13068_HENDRICKS'!F11+'13081_COT4'!F11+'13080_COT3'!F11+'13058_DALRYMPLE'!F11+'13065_HALFWAY'!F11+'13060_LIBRARY'!F11+'13067_RANDOMNORTH'!F11+'13077_HAPPYVALLEY'!F11+'13069_CAMPUSCENTER'!F11+'13072_COT5'!F11+'13073_PRESSER'!F11+'13083_MUMFORD'!F11+'13078_COT1'!F11+'13079_COT2'!F11+'13064_SCHRADER'!F11+'13066_ALLTHEWAY'!F11+'13056_DININGHALL'!F11+'13062_SCIENCEBLDG'!F11+'13074_APPLETREE'!F11+'13084_REDHOUSE'!F11+'13082_MACHOUSE'!F11+'13071_RANDOMSOUTH'!F11+'13075_ADMISSIONS'!F11+'13063_HOWLAND'!F11+'14766_WHITTEMORE'!F11+'13070_HAPPYVALLEY'!F11+'13113_CABIN2'!F11+'13137_CABIN1'!F11+'13061_PRESSERWEST'!F11+'13085_POTTERY'!F11+'13491_MAINT'!F11+'13645_MARLNORTH'!F11</f>
        <v>4232.38</v>
      </c>
      <c r="G12" s="107">
        <f>'14747_NEWMAINT'!G11+'13112_PERRINE'!G11+'13057_THEATER'!G11++'13059_AUD'!G11+'13068_HENDRICKS'!G11+'13081_COT4'!G11+'13080_COT3'!G11+'13058_DALRYMPLE'!G11+'13065_HALFWAY'!G11+'13060_LIBRARY'!G11+'13067_RANDOMNORTH'!G11+'13077_HAPPYVALLEY'!G11+'13069_CAMPUSCENTER'!G11+'13072_COT5'!G11+'13073_PRESSER'!G11+'13083_MUMFORD'!G11+'13078_COT1'!G11+'13079_COT2'!G11+'13064_SCHRADER'!G11+'13066_ALLTHEWAY'!G11+'13056_DININGHALL'!G11+'13062_SCIENCEBLDG'!G11+'13074_APPLETREE'!G11+'13084_REDHOUSE'!G11+'13082_MACHOUSE'!G11+'13071_RANDOMSOUTH'!G11+'13075_ADMISSIONS'!G11+'13063_HOWLAND'!G11+'14766_WHITTEMORE'!G11+'13070_HAPPYVALLEY'!G11+'13113_CABIN2'!G11+'13137_CABIN1'!G11+'13061_PRESSERWEST'!G11+'13085_POTTERY'!G11+'13491_MAINT'!G11+'13645_MARLNORTH'!G11</f>
        <v>4351</v>
      </c>
      <c r="H12" s="130">
        <f>'14747_NEWMAINT'!H11+'13112_PERRINE'!H11+'13057_THEATER'!H11++'13059_AUD'!H11+'13068_HENDRICKS'!H11+'13081_COT4'!H11+'13080_COT3'!H11+'13058_DALRYMPLE'!H11+'13065_HALFWAY'!H11+'13060_LIBRARY'!H11+'13067_RANDOMNORTH'!H11+'13077_HAPPYVALLEY'!H11+'13069_CAMPUSCENTER'!H11+'13072_COT5'!H11+'13073_PRESSER'!H11+'13083_MUMFORD'!H11+'13078_COT1'!H11+'13079_COT2'!H11+'13064_SCHRADER'!H11+'13066_ALLTHEWAY'!H11+'13056_DININGHALL'!H11+'13062_SCIENCEBLDG'!H11+'13074_APPLETREE'!H11+'13084_REDHOUSE'!H11+'13082_MACHOUSE'!H11+'13071_RANDOMSOUTH'!H11+'13075_ADMISSIONS'!H11+'13063_HOWLAND'!H11+'14766_WHITTEMORE'!H11+'13070_HAPPYVALLEY'!H11+'13113_CABIN2'!H11+'13137_CABIN1'!H11+'13061_PRESSERWEST'!H11+'13085_POTTERY'!H11+'13491_MAINT'!H11+'13645_MARLNORTH'!H11</f>
        <v>5081.5</v>
      </c>
      <c r="I12" s="107">
        <f>'14747_NEWMAINT'!I11+'13112_PERRINE'!I11+'13057_THEATER'!I11++'13059_AUD'!I11+'13068_HENDRICKS'!I11+'13081_COT4'!I11+'13080_COT3'!I11+'13058_DALRYMPLE'!I11+'13065_HALFWAY'!I11+'13060_LIBRARY'!I11+'13067_RANDOMNORTH'!I11+'13077_HAPPYVALLEY'!I11+'13069_CAMPUSCENTER'!I11+'13072_COT5'!I11+'13073_PRESSER'!I11+'13083_MUMFORD'!I11+'13078_COT1'!I11+'13079_COT2'!I11+'13064_SCHRADER'!I11+'13066_ALLTHEWAY'!I11+'13056_DININGHALL'!I11+'13062_SCIENCEBLDG'!I11+'13074_APPLETREE'!I11+'13084_REDHOUSE'!I11+'13082_MACHOUSE'!I11+'13071_RANDOMSOUTH'!I11+'13075_ADMISSIONS'!I11+'13063_HOWLAND'!I11+'14766_WHITTEMORE'!I11+'13070_HAPPYVALLEY'!I11+'13113_CABIN2'!I11+'13137_CABIN1'!I11+'13061_PRESSERWEST'!I11+'13085_POTTERY'!I11+'13491_MAINT'!I11+'13645_MARLNORTH'!I11</f>
        <v>4567.5</v>
      </c>
      <c r="J12" s="130">
        <f>'14747_NEWMAINT'!J11+'13112_PERRINE'!J11+'13057_THEATER'!J11+'13059_AUD'!J11+'13068_HENDRICKS'!J11+'13081_COT4'!J11+'13080_COT3'!J11+'13058_DALRYMPLE'!J11+'13065_HALFWAY'!J11+'13060_LIBRARY'!J11+'13067_RANDOMNORTH'!J11+'13077_HAPPYVALLEY'!J11+'13069_CAMPUSCENTER'!J11+'13072_COT5'!J11+'13073_PRESSER'!J11+'13083_MUMFORD'!J11+'13078_COT1'!J11+'13079_COT2'!J11+'13064_SCHRADER'!J11+'13066_ALLTHEWAY'!J11+'13056_DININGHALL'!J11+'13062_SCIENCEBLDG'!J11+'13074_APPLETREE'!J11+'13084_REDHOUSE'!J11+'13082_MACHOUSE'!J11+'13071_RANDOMSOUTH'!J11+'13075_ADMISSIONS'!J11+'13063_HOWLAND'!J11+'14766_WHITTEMORE'!J11+'13070_HAPPYVALLEY'!J11+'13113_CABIN2'!J11+'13137_CABIN1'!J11+'13061_PRESSERWEST'!J11+'13085_POTTERY'!J11+'13491_MAINT'!J11+'13645_MARLNORTH'!J11+'17736_OUTOFWAY'!B11</f>
        <v>10414.529999999999</v>
      </c>
      <c r="K12" s="107">
        <f>'14747_NEWMAINT'!K11+'13112_PERRINE'!K11+'13057_THEATER'!K11+'13059_AUD'!K11+'13068_HENDRICKS'!K11+'13081_COT4'!K11+'13080_COT3'!K11+'13058_DALRYMPLE'!K11+'13065_HALFWAY'!K11+'13060_LIBRARY'!K11+'13067_RANDOMNORTH'!K11+'13077_HAPPYVALLEY'!K11+'13069_CAMPUSCENTER'!K11+'13072_COT5'!K11+'13073_PRESSER'!K11+'13083_MUMFORD'!K11+'13078_COT1'!K11+'13079_COT2'!K11+'13064_SCHRADER'!K11+'13066_ALLTHEWAY'!K11+'13056_DININGHALL'!K11+'13062_SCIENCEBLDG'!K11+'13074_APPLETREE'!K11+'13084_REDHOUSE'!K11+'13082_MACHOUSE'!K11+'13071_RANDOMSOUTH'!K11+'13075_ADMISSIONS'!K11+'13063_HOWLAND'!K11+'14766_WHITTEMORE'!K11+'13070_HAPPYVALLEY'!K11+'13113_CABIN2'!K11+'13137_CABIN1'!K11+'13061_PRESSERWEST'!K11+'13085_POTTERY'!K11+'13491_MAINT'!K11+'13645_MARLNORTH'!K11+'17736_OUTOFWAY'!C11</f>
        <v>10354.3</v>
      </c>
      <c r="L12" s="132">
        <f>'14747_NEWMAINT'!L11+'13112_PERRINE'!L11+'13057_THEATER'!L11++'13059_AUD'!L11+'13068_HENDRICKS'!L11+'13081_COT4'!L11+'13080_COT3'!L11+'13058_DALRYMPLE'!L11+'13065_HALFWAY'!L11+'13060_LIBRARY'!L11+'13067_RANDOMNORTH'!L11+'13077_HAPPYVALLEY'!L11+'13069_CAMPUSCENTER'!L11+'13072_COT5'!L11+'13073_PRESSER'!L11+'13083_MUMFORD'!L11+'13078_COT1'!L11+'13079_COT2'!L11+'13064_SCHRADER'!L11+'13066_ALLTHEWAY'!L11+'13056_DININGHALL'!L11+'13062_SCIENCEBLDG'!L11+'13074_APPLETREE'!L11+'13084_REDHOUSE'!L11+'13082_MACHOUSE'!L11+'13071_RANDOMSOUTH'!L11+'13075_ADMISSIONS'!L11+'13063_HOWLAND'!L11+'14766_WHITTEMORE'!L11+'13070_HAPPYVALLEY'!L11+'13113_CABIN2'!L11+'13137_CABIN1'!L11+'13061_PRESSERWEST'!L11+'13085_POTTERY'!L11+'13491_MAINT'!L11+'13645_MARLNORTH'!L11+'17736_OUTOFWAY'!D11</f>
        <v>7043.25</v>
      </c>
      <c r="M12" s="107">
        <f>'14747_NEWMAINT'!M11+'13112_PERRINE'!M11+'13057_THEATER'!M11++'13059_AUD'!M11+'13068_HENDRICKS'!M11+'13081_COT4'!M11+'13080_COT3'!M11+'13058_DALRYMPLE'!M11+'13065_HALFWAY'!M11+'13060_LIBRARY'!M11+'13067_RANDOMNORTH'!M11+'13077_HAPPYVALLEY'!M11+'13069_CAMPUSCENTER'!M11+'13072_COT5'!M11+'13073_PRESSER'!M11+'13083_MUMFORD'!M11+'13078_COT1'!M11+'13079_COT2'!M11+'13064_SCHRADER'!M11+'13066_ALLTHEWAY'!M11+'13056_DININGHALL'!M11+'13062_SCIENCEBLDG'!M11+'13074_APPLETREE'!M11+'13084_REDHOUSE'!M11+'13082_MACHOUSE'!M11+'13071_RANDOMSOUTH'!M11+'13075_ADMISSIONS'!M11+'13063_HOWLAND'!M11+'14766_WHITTEMORE'!M11+'13070_HAPPYVALLEY'!M11+'13113_CABIN2'!M11+'13137_CABIN1'!M11+'13061_PRESSERWEST'!M11+'13085_POTTERY'!M11+'13491_MAINT'!M11+'13645_MARLNORTH'!M11</f>
        <v>7318.000000000001</v>
      </c>
      <c r="N12" s="132">
        <f>'14747_NEWMAINT'!N11+'13112_PERRINE'!N11+'13057_THEATER'!N11++'13059_AUD'!N11+'13068_HENDRICKS'!N11+'13081_COT4'!N11+'13080_COT3'!N11+'13058_DALRYMPLE'!N11+'13065_HALFWAY'!N11+'13060_LIBRARY'!N11+'13067_RANDOMNORTH'!N11+'13077_HAPPYVALLEY'!N11+'13069_CAMPUSCENTER'!N11+'13072_COT5'!N11+'13073_PRESSER'!N11+'13083_MUMFORD'!N11+'13078_COT1'!N11+'13079_COT2'!N11+'13064_SCHRADER'!N11+'13066_ALLTHEWAY'!N11+'13056_DININGHALL'!N11+'13062_SCIENCEBLDG'!N11+'13074_APPLETREE'!N11+'13084_REDHOUSE'!N11+'13082_MACHOUSE'!N11+'13071_RANDOMSOUTH'!N11+'13075_ADMISSIONS'!N11+'13063_HOWLAND'!N11+'14766_WHITTEMORE'!N11+'13070_HAPPYVALLEY'!N11+'13113_CABIN2'!N11+'13137_CABIN1'!N11+'13061_PRESSERWEST'!N11+'13085_POTTERY'!N11+'13491_MAINT'!N11+'13645_MARLNORTH'!N11+'17736_OUTOFWAY'!F11</f>
        <v>4929.29</v>
      </c>
      <c r="O12" s="107">
        <f>'14747_NEWMAINT'!O11+'13112_PERRINE'!O11+'13057_THEATER'!O11++'13059_AUD'!O11+'13068_HENDRICKS'!O11+'13081_COT4'!O11+'13080_COT3'!O11+'13058_DALRYMPLE'!O11+'13065_HALFWAY'!O11+'13060_LIBRARY'!O11+'13067_RANDOMNORTH'!O11+'13077_HAPPYVALLEY'!O11+'13069_CAMPUSCENTER'!O11+'13072_COT5'!O11+'13073_PRESSER'!O11+'13083_MUMFORD'!O11+'13078_COT1'!O11+'13079_COT2'!O11+'13064_SCHRADER'!O11+'13066_ALLTHEWAY'!O11+'13056_DININGHALL'!O11+'13062_SCIENCEBLDG'!O11+'13074_APPLETREE'!O11+'13084_REDHOUSE'!O11+'13082_MACHOUSE'!O11+'13071_RANDOMSOUTH'!O11+'13075_ADMISSIONS'!O11+'13063_HOWLAND'!O11+'14766_WHITTEMORE'!O11+'13070_HAPPYVALLEY'!O11+'13113_CABIN2'!O11+'13137_CABIN1'!O11+'13061_PRESSERWEST'!O11+'13085_POTTERY'!O11+'13491_MAINT'!O11+'13645_MARLNORTH'!O11</f>
        <v>4306.900000000001</v>
      </c>
      <c r="P12" s="132">
        <f>'13056_DININGHALL'!P11+'13057_THEATER'!P11+'13058_DALRYMPLE'!P11+'13059_AUD'!P11+'13060_LIBRARY'!P11+'13061_PRESSERWEST'!P11+'13062_SCIENCEBLDG'!P11+'13063_HOWLAND'!P11+'13064_SCHRADER'!P11+'13065_HALFWAY'!P11+'13066_ALLTHEWAY'!P11+'13067_RANDOMNORTH'!P11+'13068_HENDRICKS'!P11+'13069_CAMPUSCENTER'!P11+'13070_HAPPYVALLEY'!P11+'13071_RANDOMSOUTH'!P11+'13072_COT5'!P11+'13074_APPLETREE'!P12+'13075_ADMISSIONS'!P12+'13077_HAPPYVALLEY'!P11+'13078_COT1'!P11+'13079_COT2'!P11+'13080_COT3'!P11+'13081_COT4'!P12+'13082_MACHOUSE'!P11+'13083_MUMFORD'!P11+'13084_REDHOUSE'!P11+'13085_POTTERY'!P11+'13112_PERRINE'!P12+'13113_CABIN2'!P11+'13137_CABIN1'!P11+'13491_MAINT'!P11+'13645_MARLNORTH'!P11+'14747_NEWMAINT'!P11+'14766_WHITTEMORE'!P11+'17736_OUTOFWAY'!H11+'21054_COT6'!B11</f>
        <v>8284.880000000001</v>
      </c>
      <c r="Q12" s="174">
        <f>'13056_DININGHALL'!Q11+'13057_THEATER'!Q11+'13058_DALRYMPLE'!Q11+'13059_AUD'!Q11+'13060_LIBRARY'!Q11+'13061_PRESSERWEST'!Q11+'13062_SCIENCEBLDG'!Q11+'13063_HOWLAND'!Q11+'13064_SCHRADER'!Q11+'13065_HALFWAY'!Q11+'13066_ALLTHEWAY'!Q11+'13067_RANDOMNORTH'!Q11+'13068_HENDRICKS'!Q11+'13069_CAMPUSCENTER'!Q11+'13070_HAPPYVALLEY'!Q11+'13071_RANDOMSOUTH'!Q11+'13072_COT5'!Q11+'13074_APPLETREE'!Q12+'13075_ADMISSIONS'!Q12+'13077_HAPPYVALLEY'!Q11+'13078_COT1'!Q11+'13079_COT2'!Q11+'13080_COT3'!Q11+'13081_COT4'!Q12+'13082_MACHOUSE'!Q11+'13083_MUMFORD'!Q11+'13084_REDHOUSE'!Q11+'13085_POTTERY'!Q11+'13112_PERRINE'!Q12+'13113_CABIN2'!Q11+'13137_CABIN1'!Q11+'13491_MAINT'!Q11+'13645_MARLNORTH'!Q11+'14747_NEWMAINT'!Q11+'14766_WHITTEMORE'!Q11+'17736_OUTOFWAY'!I11+'21054_COT6'!C11</f>
        <v>5092</v>
      </c>
      <c r="R12" s="132">
        <f>'14747_NEWMAINT'!R11+'13112_PERRINE'!R11+'13057_THEATER'!R11+'13059_AUD'!R11+'13068_HENDRICKS'!R11+'13081_COT4'!R11+'13080_COT3'!R11+'13058_DALRYMPLE'!R11+'13065_HALFWAY'!R11+'13060_LIBRARY'!R11+'13067_RANDOMNORTH'!R11+'13077_HAPPYVALLEY'!R11+'13069_CAMPUSCENTER'!R11+'13072_COT5'!R11+'13073_PRESSER'!R11+'13083_MUMFORD'!R11+'13078_COT1'!R11+'13079_COT2'!R11+'13064_SCHRADER'!R11+'13066_ALLTHEWAY'!R11+'13056_DININGHALL'!R11+'13062_SCIENCEBLDG'!R11+'13074_APPLETREE'!R11+'13084_REDHOUSE'!R11+'13082_MACHOUSE'!R11+'13071_RANDOMSOUTH'!R11+'13075_ADMISSIONS'!R11+'13063_HOWLAND'!R11+'14766_WHITTEMORE'!R11+'13070_HAPPYVALLEY'!R11+'13113_CABIN2'!R11+'13137_CABIN1'!R11+'13061_PRESSERWEST'!R11+'13085_POTTERY'!R11+'13491_MAINT'!R11+'13645_MARLNORTH'!R11+'17736_OUTOFWAY'!J11</f>
        <v>9613.060000000003</v>
      </c>
      <c r="S12" s="107">
        <f>'14747_NEWMAINT'!S11+'13112_PERRINE'!S11+'13057_THEATER'!S11+'13059_AUD'!S11+'13068_HENDRICKS'!S11+'13081_COT4'!S11+'13080_COT3'!S11+'13058_DALRYMPLE'!S11+'13065_HALFWAY'!S11+'13060_LIBRARY'!S11+'13067_RANDOMNORTH'!S11+'13077_HAPPYVALLEY'!S11+'13069_CAMPUSCENTER'!S11+'13072_COT5'!S11+'13073_PRESSER'!S11+'13083_MUMFORD'!S11+'13078_COT1'!S11+'13079_COT2'!S11+'13064_SCHRADER'!S11+'13066_ALLTHEWAY'!S11+'13056_DININGHALL'!S11+'13062_SCIENCEBLDG'!S11+'13074_APPLETREE'!S11+'13084_REDHOUSE'!S11+'13082_MACHOUSE'!S11+'13071_RANDOMSOUTH'!S11+'13075_ADMISSIONS'!S11+'13063_HOWLAND'!S11+'14766_WHITTEMORE'!S11+'13070_HAPPYVALLEY'!S11+'13113_CABIN2'!S11+'13137_CABIN1'!S11+'13061_PRESSERWEST'!S11+'13085_POTTERY'!S11+'13491_MAINT'!S11+'13645_MARLNORTH'!S11</f>
        <v>4467.900000000001</v>
      </c>
      <c r="T12" s="132">
        <f>'14747_NEWMAINT'!T11+'13112_PERRINE'!T11+'13057_THEATER'!T11+'13059_AUD'!T11+'13068_HENDRICKS'!T11+'13081_COT4'!T11+'13080_COT3'!T11+'13058_DALRYMPLE'!T11+'13065_HALFWAY'!T11+'13060_LIBRARY'!T11+'13067_RANDOMNORTH'!T11+'13077_HAPPYVALLEY'!T11+'13069_CAMPUSCENTER'!T11+'13072_COT5'!T11+'13073_PRESSER'!T11+'13083_MUMFORD'!T11+'13078_COT1'!T11+'13079_COT2'!T11+'13064_SCHRADER'!T11+'13066_ALLTHEWAY'!T11+'13056_DININGHALL'!T11+'13062_SCIENCEBLDG'!T11+'13074_APPLETREE'!T11+'13084_REDHOUSE'!T11+'13082_MACHOUSE'!T11+'13071_RANDOMSOUTH'!T11+'13075_ADMISSIONS'!T11+'13063_HOWLAND'!T11+'14766_WHITTEMORE'!T11+'13070_HAPPYVALLEY'!T11+'13113_CABIN2'!T11+'13137_CABIN1'!T11+'13061_PRESSERWEST'!T11+'13085_POTTERY'!T11+'13491_MAINT'!T11+'13645_MARLNORTH'!T11+'17736_OUTOFWAY'!L11</f>
        <v>0</v>
      </c>
      <c r="U12" s="107">
        <f>'14747_NEWMAINT'!U11+'13112_PERRINE'!U11+'13057_THEATER'!U11+'13059_AUD'!U11+'13068_HENDRICKS'!U11+'13081_COT4'!U11+'13080_COT3'!U11+'13058_DALRYMPLE'!U11+'13065_HALFWAY'!U11+'13060_LIBRARY'!U11+'13067_RANDOMNORTH'!U11+'13077_HAPPYVALLEY'!U11+'13069_CAMPUSCENTER'!U11+'13072_COT5'!U11+'13073_PRESSER'!U11+'13083_MUMFORD'!U11+'13078_COT1'!U11+'13079_COT2'!U11+'13064_SCHRADER'!U11+'13066_ALLTHEWAY'!U11+'13056_DININGHALL'!U11+'13062_SCIENCEBLDG'!U11+'13074_APPLETREE'!U11+'13084_REDHOUSE'!U11+'13082_MACHOUSE'!U11+'13071_RANDOMSOUTH'!U11+'13075_ADMISSIONS'!U11+'13063_HOWLAND'!U11+'14766_WHITTEMORE'!U11+'13070_HAPPYVALLEY'!U11+'13113_CABIN2'!U11+'13137_CABIN1'!U11+'13061_PRESSERWEST'!U11+'13085_POTTERY'!U11+'13491_MAINT'!U11+'13645_MARLNORTH'!U11</f>
        <v>0</v>
      </c>
    </row>
    <row r="13" spans="1:21" ht="15">
      <c r="A13" s="2" t="s">
        <v>14</v>
      </c>
      <c r="B13" s="73">
        <f>'14747_NEWMAINT'!B12+'13112_PERRINE'!B12+'13057_THEATER'!B12++'13059_AUD'!B12+'13068_HENDRICKS'!B12+'13081_COT4'!B12+'13080_COT3'!B12+'13058_DALRYMPLE'!B12+'13065_HALFWAY'!B12+'13060_LIBRARY'!B12+'13067_RANDOMNORTH'!B12+'13077_HAPPYVALLEY'!B12+'13069_CAMPUSCENTER'!B12+'13072_COT5'!B12+'13073_PRESSER'!B12+'13083_MUMFORD'!B12+'13078_COT1'!B12+'13079_COT2'!B12+'13064_SCHRADER'!B12+'13066_ALLTHEWAY'!B12+'13056_DININGHALL'!B12+'13062_SCIENCEBLDG'!B12+'13074_APPLETREE'!B12+'13084_REDHOUSE'!B12+'13082_MACHOUSE'!B12+'13071_RANDOMSOUTH'!B12+'13075_ADMISSIONS'!B12+'13063_HOWLAND'!B12+'14766_WHITTEMORE'!B12+'13070_HAPPYVALLEY'!B12+'13113_CABIN2'!B12+'13137_CABIN1'!B12+'13061_PRESSERWEST'!B12+'13085_POTTERY'!B12</f>
        <v>0</v>
      </c>
      <c r="C13" s="108">
        <f>'14747_NEWMAINT'!C12+'13112_PERRINE'!C12+'13057_THEATER'!C12++'13059_AUD'!C12+'13068_HENDRICKS'!C12+'13081_COT4'!C12+'13080_COT3'!C12+'13058_DALRYMPLE'!C12+'13065_HALFWAY'!C12+'13060_LIBRARY'!C12+'13067_RANDOMNORTH'!C12+'13077_HAPPYVALLEY'!C12+'13069_CAMPUSCENTER'!C12+'13072_COT5'!C12+'13073_PRESSER'!C12+'13083_MUMFORD'!C12+'13078_COT1'!C12+'13079_COT2'!C12+'13064_SCHRADER'!C12+'13066_ALLTHEWAY'!C12+'13056_DININGHALL'!C12+'13062_SCIENCEBLDG'!C12+'13074_APPLETREE'!C12+'13084_REDHOUSE'!C12+'13082_MACHOUSE'!C12+'13071_RANDOMSOUTH'!C12+'13075_ADMISSIONS'!C12+'13063_HOWLAND'!C12+'14766_WHITTEMORE'!C12+'13070_HAPPYVALLEY'!C12+'13113_CABIN2'!C12+'13137_CABIN1'!C12+'13061_PRESSERWEST'!C12+'13085_POTTERY'!C12</f>
        <v>0</v>
      </c>
      <c r="D13" s="73">
        <f>'14747_NEWMAINT'!D12+'13112_PERRINE'!D12+'13057_THEATER'!D12++'13059_AUD'!D12+'13068_HENDRICKS'!D12+'13081_COT4'!D12+'13080_COT3'!D12+'13058_DALRYMPLE'!D12+'13065_HALFWAY'!D12+'13060_LIBRARY'!D12+'13067_RANDOMNORTH'!D12+'13077_HAPPYVALLEY'!D12+'13069_CAMPUSCENTER'!D12+'13072_COT5'!D12+'13073_PRESSER'!D12+'13083_MUMFORD'!D12+'13078_COT1'!D12+'13079_COT2'!D12+'13064_SCHRADER'!D12+'13066_ALLTHEWAY'!D12+'13056_DININGHALL'!D12+'13062_SCIENCEBLDG'!D12+'13074_APPLETREE'!D12+'13084_REDHOUSE'!D12+'13082_MACHOUSE'!D12+'13071_RANDOMSOUTH'!D12+'13075_ADMISSIONS'!D12+'13063_HOWLAND'!D12+'14766_WHITTEMORE'!D12+'13070_HAPPYVALLEY'!D12+'13113_CABIN2'!D12+'13137_CABIN1'!D12+'13061_PRESSERWEST'!D12+'13085_POTTERY'!D12+'13491_MAINT'!D12+'13645_MARLNORTH'!D12</f>
        <v>4894.7</v>
      </c>
      <c r="E13" s="107">
        <f>'14747_NEWMAINT'!E12+'13112_PERRINE'!E12+'13057_THEATER'!E12++'13059_AUD'!E12+'13068_HENDRICKS'!E12+'13081_COT4'!E12+'13080_COT3'!E12+'13058_DALRYMPLE'!E12+'13065_HALFWAY'!E12+'13060_LIBRARY'!E12+'13067_RANDOMNORTH'!E12+'13077_HAPPYVALLEY'!E12+'13069_CAMPUSCENTER'!E12+'13072_COT5'!E12+'13073_PRESSER'!E12+'13083_MUMFORD'!E12+'13078_COT1'!E12+'13079_COT2'!E12+'13064_SCHRADER'!E12+'13066_ALLTHEWAY'!E12+'13056_DININGHALL'!E12+'13062_SCIENCEBLDG'!E12+'13074_APPLETREE'!E12+'13084_REDHOUSE'!E12+'13082_MACHOUSE'!E12+'13071_RANDOMSOUTH'!E12+'13075_ADMISSIONS'!E12+'13063_HOWLAND'!E12+'14766_WHITTEMORE'!E12+'13070_HAPPYVALLEY'!E12+'13113_CABIN2'!E12+'13137_CABIN1'!E12+'13061_PRESSERWEST'!E12+'13085_POTTERY'!E12+'13491_MAINT'!E12+'13645_MARLNORTH'!E12</f>
        <v>8418.6</v>
      </c>
      <c r="F13" s="73">
        <f>'14747_NEWMAINT'!F12+'13112_PERRINE'!F12+'13057_THEATER'!F12++'13059_AUD'!F12+'13068_HENDRICKS'!F12+'13081_COT4'!F12+'13080_COT3'!F12+'13058_DALRYMPLE'!F12+'13065_HALFWAY'!F12+'13060_LIBRARY'!F12+'13067_RANDOMNORTH'!F12+'13077_HAPPYVALLEY'!F12+'13069_CAMPUSCENTER'!F12+'13072_COT5'!F12+'13073_PRESSER'!F12+'13083_MUMFORD'!F12+'13078_COT1'!F12+'13079_COT2'!F12+'13064_SCHRADER'!F12+'13066_ALLTHEWAY'!F12+'13056_DININGHALL'!F12+'13062_SCIENCEBLDG'!F12+'13074_APPLETREE'!F12+'13084_REDHOUSE'!F12+'13082_MACHOUSE'!F12+'13071_RANDOMSOUTH'!F12+'13075_ADMISSIONS'!F12+'13063_HOWLAND'!F12+'14766_WHITTEMORE'!F12+'13070_HAPPYVALLEY'!F12+'13113_CABIN2'!F12+'13137_CABIN1'!F12+'13061_PRESSERWEST'!F12+'13085_POTTERY'!F12+'13491_MAINT'!F12+'13645_MARLNORTH'!F12</f>
        <v>9626.699999999999</v>
      </c>
      <c r="G13" s="107">
        <f>'14747_NEWMAINT'!G12+'13112_PERRINE'!G12+'13057_THEATER'!G12++'13059_AUD'!G12+'13068_HENDRICKS'!G12+'13081_COT4'!G12+'13080_COT3'!G12+'13058_DALRYMPLE'!G12+'13065_HALFWAY'!G12+'13060_LIBRARY'!G12+'13067_RANDOMNORTH'!G12+'13077_HAPPYVALLEY'!G12+'13069_CAMPUSCENTER'!G12+'13072_COT5'!G12+'13073_PRESSER'!G12+'13083_MUMFORD'!G12+'13078_COT1'!G12+'13079_COT2'!G12+'13064_SCHRADER'!G12+'13066_ALLTHEWAY'!G12+'13056_DININGHALL'!G12+'13062_SCIENCEBLDG'!G12+'13074_APPLETREE'!G12+'13084_REDHOUSE'!G12+'13082_MACHOUSE'!G12+'13071_RANDOMSOUTH'!G12+'13075_ADMISSIONS'!G12+'13063_HOWLAND'!G12+'14766_WHITTEMORE'!G12+'13070_HAPPYVALLEY'!G12+'13113_CABIN2'!G12+'13137_CABIN1'!G12+'13061_PRESSERWEST'!G12+'13085_POTTERY'!G12+'13491_MAINT'!G12+'13645_MARLNORTH'!G12</f>
        <v>10041.899999999998</v>
      </c>
      <c r="H13" s="130">
        <f>'14747_NEWMAINT'!H12+'13112_PERRINE'!H12+'13057_THEATER'!H12++'13059_AUD'!H12+'13068_HENDRICKS'!H12+'13081_COT4'!H12+'13080_COT3'!H12+'13058_DALRYMPLE'!H12+'13065_HALFWAY'!H12+'13060_LIBRARY'!H12+'13067_RANDOMNORTH'!H12+'13077_HAPPYVALLEY'!H12+'13069_CAMPUSCENTER'!H12+'13072_COT5'!H12+'13073_PRESSER'!H12+'13083_MUMFORD'!H12+'13078_COT1'!H12+'13079_COT2'!H12+'13064_SCHRADER'!H12+'13066_ALLTHEWAY'!H12+'13056_DININGHALL'!H12+'13062_SCIENCEBLDG'!H12+'13074_APPLETREE'!H12+'13084_REDHOUSE'!H12+'13082_MACHOUSE'!H12+'13071_RANDOMSOUTH'!H12+'13075_ADMISSIONS'!H12+'13063_HOWLAND'!H12+'14766_WHITTEMORE'!H12+'13070_HAPPYVALLEY'!H12+'13113_CABIN2'!H12+'13137_CABIN1'!H12+'13061_PRESSERWEST'!H12+'13085_POTTERY'!H12+'13491_MAINT'!H12+'13645_MARLNORTH'!H12</f>
        <v>9184.950000000003</v>
      </c>
      <c r="I13" s="107">
        <f>'14747_NEWMAINT'!I12+'13112_PERRINE'!I12+'13057_THEATER'!I12++'13059_AUD'!I12+'13068_HENDRICKS'!I12+'13081_COT4'!I12+'13080_COT3'!I12+'13058_DALRYMPLE'!I12+'13065_HALFWAY'!I12+'13060_LIBRARY'!I12+'13067_RANDOMNORTH'!I12+'13077_HAPPYVALLEY'!I12+'13069_CAMPUSCENTER'!I12+'13072_COT5'!I12+'13073_PRESSER'!I12+'13083_MUMFORD'!I12+'13078_COT1'!I12+'13079_COT2'!I12+'13064_SCHRADER'!I12+'13066_ALLTHEWAY'!I12+'13056_DININGHALL'!I12+'13062_SCIENCEBLDG'!I12+'13074_APPLETREE'!I12+'13084_REDHOUSE'!I12+'13082_MACHOUSE'!I12+'13071_RANDOMSOUTH'!I12+'13075_ADMISSIONS'!I12+'13063_HOWLAND'!I12+'14766_WHITTEMORE'!I12+'13070_HAPPYVALLEY'!I12+'13113_CABIN2'!I12+'13137_CABIN1'!I12+'13061_PRESSERWEST'!I12+'13085_POTTERY'!I12+'13491_MAINT'!I12+'13645_MARLNORTH'!I12</f>
        <v>8811.400000000001</v>
      </c>
      <c r="J13" s="130">
        <f>'14747_NEWMAINT'!J12+'13112_PERRINE'!J12+'13057_THEATER'!J12+'13059_AUD'!J12+'13068_HENDRICKS'!J12+'13081_COT4'!J12+'13080_COT3'!J12+'13058_DALRYMPLE'!J12+'13065_HALFWAY'!J12+'13060_LIBRARY'!J12+'13067_RANDOMNORTH'!J12+'13077_HAPPYVALLEY'!J12+'13069_CAMPUSCENTER'!J12+'13072_COT5'!J12+'13073_PRESSER'!J12+'13083_MUMFORD'!J12+'13078_COT1'!J12+'13079_COT2'!J12+'13064_SCHRADER'!J12+'13066_ALLTHEWAY'!J12+'13056_DININGHALL'!J12+'13062_SCIENCEBLDG'!J12+'13074_APPLETREE'!J12+'13084_REDHOUSE'!J12+'13082_MACHOUSE'!J12+'13071_RANDOMSOUTH'!J12+'13075_ADMISSIONS'!J12+'13063_HOWLAND'!J12+'14766_WHITTEMORE'!J12+'13070_HAPPYVALLEY'!J12+'13113_CABIN2'!J12+'13137_CABIN1'!J12+'13061_PRESSERWEST'!J12+'13085_POTTERY'!J12+'13491_MAINT'!J12+'13645_MARLNORTH'!J12+'17736_OUTOFWAY'!B12</f>
        <v>4252.389999999999</v>
      </c>
      <c r="K13" s="107">
        <f>'14747_NEWMAINT'!K12+'13112_PERRINE'!K12+'13057_THEATER'!K12+'13059_AUD'!K12+'13068_HENDRICKS'!K12+'13081_COT4'!K12+'13080_COT3'!K12+'13058_DALRYMPLE'!K12+'13065_HALFWAY'!K12+'13060_LIBRARY'!K12+'13067_RANDOMNORTH'!K12+'13077_HAPPYVALLEY'!K12+'13069_CAMPUSCENTER'!K12+'13072_COT5'!K12+'13073_PRESSER'!K12+'13083_MUMFORD'!K12+'13078_COT1'!K12+'13079_COT2'!K12+'13064_SCHRADER'!K12+'13066_ALLTHEWAY'!K12+'13056_DININGHALL'!K12+'13062_SCIENCEBLDG'!K12+'13074_APPLETREE'!K12+'13084_REDHOUSE'!K12+'13082_MACHOUSE'!K12+'13071_RANDOMSOUTH'!K12+'13075_ADMISSIONS'!K12+'13063_HOWLAND'!K12+'14766_WHITTEMORE'!K12+'13070_HAPPYVALLEY'!K12+'13113_CABIN2'!K12+'13137_CABIN1'!K12+'13061_PRESSERWEST'!K12+'13085_POTTERY'!K12+'13491_MAINT'!K12+'13645_MARLNORTH'!K12+'17736_OUTOFWAY'!C12</f>
        <v>4188.899999999999</v>
      </c>
      <c r="L13" s="132">
        <f>'14747_NEWMAINT'!L12+'13112_PERRINE'!L12+'13057_THEATER'!L12++'13059_AUD'!L12+'13068_HENDRICKS'!L12+'13081_COT4'!L12+'13080_COT3'!L12+'13058_DALRYMPLE'!L12+'13065_HALFWAY'!L12+'13060_LIBRARY'!L12+'13067_RANDOMNORTH'!L12+'13077_HAPPYVALLEY'!L12+'13069_CAMPUSCENTER'!L12+'13072_COT5'!L12+'13073_PRESSER'!L12+'13083_MUMFORD'!L12+'13078_COT1'!L12+'13079_COT2'!L12+'13064_SCHRADER'!L12+'13066_ALLTHEWAY'!L12+'13056_DININGHALL'!L12+'13062_SCIENCEBLDG'!L12+'13074_APPLETREE'!L12+'13084_REDHOUSE'!L12+'13082_MACHOUSE'!L12+'13071_RANDOMSOUTH'!L12+'13075_ADMISSIONS'!L12+'13063_HOWLAND'!L12+'14766_WHITTEMORE'!L12+'13070_HAPPYVALLEY'!L12+'13113_CABIN2'!L12+'13137_CABIN1'!L12+'13061_PRESSERWEST'!L12+'13085_POTTERY'!L12+'13491_MAINT'!L12+'13645_MARLNORTH'!L12+'17736_OUTOFWAY'!D12</f>
        <v>4112.990000000001</v>
      </c>
      <c r="M13" s="107">
        <f>'14747_NEWMAINT'!M12+'13112_PERRINE'!M12+'13057_THEATER'!M12++'13059_AUD'!M12+'13068_HENDRICKS'!M12+'13081_COT4'!M12+'13080_COT3'!M12+'13058_DALRYMPLE'!M12+'13065_HALFWAY'!M12+'13060_LIBRARY'!M12+'13067_RANDOMNORTH'!M12+'13077_HAPPYVALLEY'!M12+'13069_CAMPUSCENTER'!M12+'13072_COT5'!M12+'13073_PRESSER'!M12+'13083_MUMFORD'!M12+'13078_COT1'!M12+'13079_COT2'!M12+'13064_SCHRADER'!M12+'13066_ALLTHEWAY'!M12+'13056_DININGHALL'!M12+'13062_SCIENCEBLDG'!M12+'13074_APPLETREE'!M12+'13084_REDHOUSE'!M12+'13082_MACHOUSE'!M12+'13071_RANDOMSOUTH'!M12+'13075_ADMISSIONS'!M12+'13063_HOWLAND'!M12+'14766_WHITTEMORE'!M12+'13070_HAPPYVALLEY'!M12+'13113_CABIN2'!M12+'13137_CABIN1'!M12+'13061_PRESSERWEST'!M12+'13085_POTTERY'!M12+'13491_MAINT'!M12+'13645_MARLNORTH'!M12</f>
        <v>3705.9699999999993</v>
      </c>
      <c r="N13" s="132">
        <f>'14747_NEWMAINT'!N12+'13112_PERRINE'!N12+'13057_THEATER'!N12++'13059_AUD'!N12+'13068_HENDRICKS'!N12+'13081_COT4'!N12+'13080_COT3'!N12+'13058_DALRYMPLE'!N12+'13065_HALFWAY'!N12+'13060_LIBRARY'!N12+'13067_RANDOMNORTH'!N12+'13077_HAPPYVALLEY'!N12+'13069_CAMPUSCENTER'!N12+'13072_COT5'!N12+'13073_PRESSER'!N12+'13083_MUMFORD'!N12+'13078_COT1'!N12+'13079_COT2'!N12+'13064_SCHRADER'!N12+'13066_ALLTHEWAY'!N12+'13056_DININGHALL'!N12+'13062_SCIENCEBLDG'!N12+'13074_APPLETREE'!N12+'13084_REDHOUSE'!N12+'13082_MACHOUSE'!N12+'13071_RANDOMSOUTH'!N12+'13075_ADMISSIONS'!N12+'13063_HOWLAND'!N12+'14766_WHITTEMORE'!N12+'13070_HAPPYVALLEY'!N12+'13113_CABIN2'!N12+'13137_CABIN1'!N12+'13061_PRESSERWEST'!N12+'13085_POTTERY'!N12+'13491_MAINT'!N12+'13645_MARLNORTH'!N12+'17736_OUTOFWAY'!F12</f>
        <v>5609.76</v>
      </c>
      <c r="O13" s="107">
        <f>'14747_NEWMAINT'!O12+'13112_PERRINE'!O12+'13057_THEATER'!O12++'13059_AUD'!O12+'13068_HENDRICKS'!O12+'13081_COT4'!O12+'13080_COT3'!O12+'13058_DALRYMPLE'!O12+'13065_HALFWAY'!O12+'13060_LIBRARY'!O12+'13067_RANDOMNORTH'!O12+'13077_HAPPYVALLEY'!O12+'13069_CAMPUSCENTER'!O12+'13072_COT5'!O12+'13073_PRESSER'!O12+'13083_MUMFORD'!O12+'13078_COT1'!O12+'13079_COT2'!O12+'13064_SCHRADER'!O12+'13066_ALLTHEWAY'!O12+'13056_DININGHALL'!O12+'13062_SCIENCEBLDG'!O12+'13074_APPLETREE'!O12+'13084_REDHOUSE'!O12+'13082_MACHOUSE'!O12+'13071_RANDOMSOUTH'!O12+'13075_ADMISSIONS'!O12+'13063_HOWLAND'!O12+'14766_WHITTEMORE'!O12+'13070_HAPPYVALLEY'!O12+'13113_CABIN2'!O12+'13137_CABIN1'!O12+'13061_PRESSERWEST'!O12+'13085_POTTERY'!O12+'13491_MAINT'!O12+'13645_MARLNORTH'!O12</f>
        <v>5026.700000000001</v>
      </c>
      <c r="P13" s="132">
        <f>'13056_DININGHALL'!P12+'13057_THEATER'!P12+'13058_DALRYMPLE'!P12+'13059_AUD'!P12+'13060_LIBRARY'!P12+'13061_PRESSERWEST'!P12+'13062_SCIENCEBLDG'!P12+'13063_HOWLAND'!P12+'13064_SCHRADER'!P12+'13065_HALFWAY'!P12+'13066_ALLTHEWAY'!P12+'13067_RANDOMNORTH'!P12+'13068_HENDRICKS'!P12+'13069_CAMPUSCENTER'!P12+'13070_HAPPYVALLEY'!P12+'13071_RANDOMSOUTH'!P12+'13072_COT5'!P12+'13074_APPLETREE'!P12+'13075_ADMISSIONS'!P12+'13077_HAPPYVALLEY'!P12+'13078_COT1'!P12+'13079_COT2'!P12+'13080_COT3'!P12+'13081_COT4'!P12+'13082_MACHOUSE'!P12+'13083_MUMFORD'!P12+'13084_REDHOUSE'!P12+'13085_POTTERY'!P12+'13112_PERRINE'!P12+'13113_CABIN2'!P12+'13137_CABIN1'!P12+'13491_MAINT'!P12+'13645_MARLNORTH'!P12+'14747_NEWMAINT'!P12+'14766_WHITTEMORE'!P12+'17736_OUTOFWAY'!H12+'21054_COT6'!B12</f>
        <v>9466.799999999997</v>
      </c>
      <c r="Q13" s="174">
        <f>'13056_DININGHALL'!Q12+'13057_THEATER'!Q12+'13058_DALRYMPLE'!Q12+'13059_AUD'!Q12+'13060_LIBRARY'!Q12+'13061_PRESSERWEST'!Q12+'13062_SCIENCEBLDG'!Q12+'13063_HOWLAND'!Q12+'13064_SCHRADER'!Q12+'13065_HALFWAY'!Q12+'13066_ALLTHEWAY'!Q12+'13067_RANDOMNORTH'!Q12+'13068_HENDRICKS'!Q12+'13069_CAMPUSCENTER'!Q12+'13070_HAPPYVALLEY'!Q12+'13071_RANDOMSOUTH'!Q12+'13072_COT5'!Q12+'13074_APPLETREE'!Q12+'13075_ADMISSIONS'!Q12+'13077_HAPPYVALLEY'!Q12+'13078_COT1'!Q12+'13079_COT2'!Q12+'13080_COT3'!Q12+'13081_COT4'!Q12+'13082_MACHOUSE'!Q12+'13083_MUMFORD'!Q12+'13084_REDHOUSE'!Q12+'13085_POTTERY'!Q12+'13112_PERRINE'!Q12+'13113_CABIN2'!Q12+'13137_CABIN1'!Q12+'13491_MAINT'!Q12+'13645_MARLNORTH'!Q12+'14747_NEWMAINT'!Q12+'14766_WHITTEMORE'!Q12+'17736_OUTOFWAY'!I12+'21054_COT6'!C12</f>
        <v>5813.1</v>
      </c>
      <c r="R13" s="132">
        <f>'14747_NEWMAINT'!R12+'13112_PERRINE'!R12+'13057_THEATER'!R12++'13059_AUD'!R12+'13068_HENDRICKS'!R12+'13081_COT4'!R12+'13080_COT3'!R12+'13058_DALRYMPLE'!R12+'13065_HALFWAY'!R12+'13060_LIBRARY'!R12+'13067_RANDOMNORTH'!R12+'13077_HAPPYVALLEY'!R12+'13069_CAMPUSCENTER'!R12+'13072_COT5'!R12+'13073_PRESSER'!R12+'13083_MUMFORD'!R12+'13078_COT1'!R12+'13079_COT2'!R12+'13064_SCHRADER'!R12+'13066_ALLTHEWAY'!R12+'13056_DININGHALL'!R12+'13062_SCIENCEBLDG'!R12+'13074_APPLETREE'!R12+'13084_REDHOUSE'!R12+'13082_MACHOUSE'!R12+'13071_RANDOMSOUTH'!R12+'13075_ADMISSIONS'!R12+'13063_HOWLAND'!R12+'14766_WHITTEMORE'!R12+'13070_HAPPYVALLEY'!R12+'13113_CABIN2'!R12+'13137_CABIN1'!R12+'13061_PRESSERWEST'!R12+'13085_POTTERY'!R12+'13491_MAINT'!R12+'13645_MARLNORTH'!R12+'17736_OUTOFWAY'!J12</f>
        <v>9162.4</v>
      </c>
      <c r="S13" s="107">
        <f>'14747_NEWMAINT'!S12+'13112_PERRINE'!S12+'13057_THEATER'!S12++'13059_AUD'!S12+'13068_HENDRICKS'!S12+'13081_COT4'!S12+'13080_COT3'!S12+'13058_DALRYMPLE'!S12+'13065_HALFWAY'!S12+'13060_LIBRARY'!S12+'13067_RANDOMNORTH'!S12+'13077_HAPPYVALLEY'!S12+'13069_CAMPUSCENTER'!S12+'13072_COT5'!S12+'13073_PRESSER'!S12+'13083_MUMFORD'!S12+'13078_COT1'!S12+'13079_COT2'!S12+'13064_SCHRADER'!S12+'13066_ALLTHEWAY'!S12+'13056_DININGHALL'!S12+'13062_SCIENCEBLDG'!S12+'13074_APPLETREE'!S12+'13084_REDHOUSE'!S12+'13082_MACHOUSE'!S12+'13071_RANDOMSOUTH'!S12+'13075_ADMISSIONS'!S12+'13063_HOWLAND'!S12+'14766_WHITTEMORE'!S12+'13070_HAPPYVALLEY'!S12+'13113_CABIN2'!S12+'13137_CABIN1'!S12+'13061_PRESSERWEST'!S12+'13085_POTTERY'!S12+'13491_MAINT'!S12+'13645_MARLNORTH'!S12</f>
        <v>4268.599999999999</v>
      </c>
      <c r="T13" s="132">
        <f>'14747_NEWMAINT'!T12+'13112_PERRINE'!T12+'13057_THEATER'!T12++'13059_AUD'!T12+'13068_HENDRICKS'!T12+'13081_COT4'!T12+'13080_COT3'!T12+'13058_DALRYMPLE'!T12+'13065_HALFWAY'!T12+'13060_LIBRARY'!T12+'13067_RANDOMNORTH'!T12+'13077_HAPPYVALLEY'!T12+'13069_CAMPUSCENTER'!T12+'13072_COT5'!T12+'13073_PRESSER'!T12+'13083_MUMFORD'!T12+'13078_COT1'!T12+'13079_COT2'!T12+'13064_SCHRADER'!T12+'13066_ALLTHEWAY'!T12+'13056_DININGHALL'!T12+'13062_SCIENCEBLDG'!T12+'13074_APPLETREE'!T12+'13084_REDHOUSE'!T12+'13082_MACHOUSE'!T12+'13071_RANDOMSOUTH'!T12+'13075_ADMISSIONS'!T12+'13063_HOWLAND'!T12+'14766_WHITTEMORE'!T12+'13070_HAPPYVALLEY'!T12+'13113_CABIN2'!T12+'13137_CABIN1'!T12+'13061_PRESSERWEST'!T12+'13085_POTTERY'!T12+'13491_MAINT'!T12+'13645_MARLNORTH'!T12+'17736_OUTOFWAY'!L12</f>
        <v>0</v>
      </c>
      <c r="U13" s="107">
        <f>'14747_NEWMAINT'!U12+'13112_PERRINE'!U12+'13057_THEATER'!U12++'13059_AUD'!U12+'13068_HENDRICKS'!U12+'13081_COT4'!U12+'13080_COT3'!U12+'13058_DALRYMPLE'!U12+'13065_HALFWAY'!U12+'13060_LIBRARY'!U12+'13067_RANDOMNORTH'!U12+'13077_HAPPYVALLEY'!U12+'13069_CAMPUSCENTER'!U12+'13072_COT5'!U12+'13073_PRESSER'!U12+'13083_MUMFORD'!U12+'13078_COT1'!U12+'13079_COT2'!U12+'13064_SCHRADER'!U12+'13066_ALLTHEWAY'!U12+'13056_DININGHALL'!U12+'13062_SCIENCEBLDG'!U12+'13074_APPLETREE'!U12+'13084_REDHOUSE'!U12+'13082_MACHOUSE'!U12+'13071_RANDOMSOUTH'!U12+'13075_ADMISSIONS'!U12+'13063_HOWLAND'!U12+'14766_WHITTEMORE'!U12+'13070_HAPPYVALLEY'!U12+'13113_CABIN2'!U12+'13137_CABIN1'!U12+'13061_PRESSERWEST'!U12+'13085_POTTERY'!U12+'13491_MAINT'!U12+'13645_MARLNORTH'!U12</f>
        <v>0</v>
      </c>
    </row>
    <row r="14" spans="1:21" ht="15">
      <c r="A14" s="2" t="s">
        <v>15</v>
      </c>
      <c r="B14" s="73">
        <f>'14747_NEWMAINT'!B13+'13112_PERRINE'!B13+'13057_THEATER'!B13++'13059_AUD'!B13+'13068_HENDRICKS'!B13+'13081_COT4'!B13+'13080_COT3'!B13+'13058_DALRYMPLE'!B13+'13065_HALFWAY'!B13+'13060_LIBRARY'!B13+'13067_RANDOMNORTH'!B13+'13077_HAPPYVALLEY'!B13+'13069_CAMPUSCENTER'!B13+'13072_COT5'!B13+'13073_PRESSER'!B13+'13083_MUMFORD'!B13+'13078_COT1'!B13+'13079_COT2'!B13+'13064_SCHRADER'!B13+'13066_ALLTHEWAY'!B13+'13056_DININGHALL'!B13+'13062_SCIENCEBLDG'!B13+'13074_APPLETREE'!B13+'13084_REDHOUSE'!B13+'13082_MACHOUSE'!B13+'13071_RANDOMSOUTH'!B13+'13075_ADMISSIONS'!B13+'13063_HOWLAND'!B13+'14766_WHITTEMORE'!B13+'13070_HAPPYVALLEY'!B13+'13113_CABIN2'!B13+'13137_CABIN1'!B13+'13061_PRESSERWEST'!B13+'13085_POTTERY'!B13</f>
        <v>0</v>
      </c>
      <c r="C14" s="108">
        <f>'14747_NEWMAINT'!C13+'13112_PERRINE'!C13+'13057_THEATER'!C13++'13059_AUD'!C13+'13068_HENDRICKS'!C13+'13081_COT4'!C13+'13080_COT3'!C13+'13058_DALRYMPLE'!C13+'13065_HALFWAY'!C13+'13060_LIBRARY'!C13+'13067_RANDOMNORTH'!C13+'13077_HAPPYVALLEY'!C13+'13069_CAMPUSCENTER'!C13+'13072_COT5'!C13+'13073_PRESSER'!C13+'13083_MUMFORD'!C13+'13078_COT1'!C13+'13079_COT2'!C13+'13064_SCHRADER'!C13+'13066_ALLTHEWAY'!C13+'13056_DININGHALL'!C13+'13062_SCIENCEBLDG'!C13+'13074_APPLETREE'!C13+'13084_REDHOUSE'!C13+'13082_MACHOUSE'!C13+'13071_RANDOMSOUTH'!C13+'13075_ADMISSIONS'!C13+'13063_HOWLAND'!C13+'14766_WHITTEMORE'!C13+'13070_HAPPYVALLEY'!C13+'13113_CABIN2'!C13+'13137_CABIN1'!C13+'13061_PRESSERWEST'!C13+'13085_POTTERY'!C13</f>
        <v>0</v>
      </c>
      <c r="D14" s="73">
        <f>'14747_NEWMAINT'!D13+'13112_PERRINE'!D13+'13057_THEATER'!D13++'13059_AUD'!D13+'13068_HENDRICKS'!D13+'13081_COT4'!D13+'13080_COT3'!D13+'13058_DALRYMPLE'!D13+'13065_HALFWAY'!D13+'13060_LIBRARY'!D13+'13067_RANDOMNORTH'!D13+'13077_HAPPYVALLEY'!D13+'13069_CAMPUSCENTER'!D13+'13072_COT5'!D13+'13073_PRESSER'!D13+'13083_MUMFORD'!D13+'13078_COT1'!D13+'13079_COT2'!D13+'13064_SCHRADER'!D13+'13066_ALLTHEWAY'!D13+'13056_DININGHALL'!D13+'13062_SCIENCEBLDG'!D13+'13074_APPLETREE'!D13+'13084_REDHOUSE'!D13+'13082_MACHOUSE'!D13+'13071_RANDOMSOUTH'!D13+'13075_ADMISSIONS'!D13+'13063_HOWLAND'!D13+'14766_WHITTEMORE'!D13+'13070_HAPPYVALLEY'!D13+'13113_CABIN2'!D13+'13137_CABIN1'!D13+'13061_PRESSERWEST'!D13+'13085_POTTERY'!D13+'13491_MAINT'!D13+'13645_MARLNORTH'!D13</f>
        <v>0</v>
      </c>
      <c r="E14" s="107">
        <f>'14747_NEWMAINT'!E13+'13112_PERRINE'!E13+'13057_THEATER'!E13++'13059_AUD'!E13+'13068_HENDRICKS'!E13+'13081_COT4'!E13+'13080_COT3'!E13+'13058_DALRYMPLE'!E13+'13065_HALFWAY'!E13+'13060_LIBRARY'!E13+'13067_RANDOMNORTH'!E13+'13077_HAPPYVALLEY'!E13+'13069_CAMPUSCENTER'!E13+'13072_COT5'!E13+'13073_PRESSER'!E13+'13083_MUMFORD'!E13+'13078_COT1'!E13+'13079_COT2'!E13+'13064_SCHRADER'!E13+'13066_ALLTHEWAY'!E13+'13056_DININGHALL'!E13+'13062_SCIENCEBLDG'!E13+'13074_APPLETREE'!E13+'13084_REDHOUSE'!E13+'13082_MACHOUSE'!E13+'13071_RANDOMSOUTH'!E13+'13075_ADMISSIONS'!E13+'13063_HOWLAND'!E13+'14766_WHITTEMORE'!E13+'13070_HAPPYVALLEY'!E13+'13113_CABIN2'!E13+'13137_CABIN1'!E13+'13061_PRESSERWEST'!E13+'13085_POTTERY'!E13+'13491_MAINT'!E13+'13645_MARLNORTH'!E13</f>
        <v>0</v>
      </c>
      <c r="F14" s="73">
        <f>'14747_NEWMAINT'!F13+'13112_PERRINE'!F13+'13057_THEATER'!F13++'13059_AUD'!F13+'13068_HENDRICKS'!F13+'13081_COT4'!F13+'13080_COT3'!F13+'13058_DALRYMPLE'!F13+'13065_HALFWAY'!F13+'13060_LIBRARY'!F13+'13067_RANDOMNORTH'!F13+'13077_HAPPYVALLEY'!F13+'13069_CAMPUSCENTER'!F13+'13072_COT5'!F13+'13073_PRESSER'!F13+'13083_MUMFORD'!F13+'13078_COT1'!F13+'13079_COT2'!F13+'13064_SCHRADER'!F13+'13066_ALLTHEWAY'!F13+'13056_DININGHALL'!F13+'13062_SCIENCEBLDG'!F13+'13074_APPLETREE'!F13+'13084_REDHOUSE'!F13+'13082_MACHOUSE'!F13+'13071_RANDOMSOUTH'!F13+'13075_ADMISSIONS'!F13+'13063_HOWLAND'!F13+'14766_WHITTEMORE'!F13+'13070_HAPPYVALLEY'!F13+'13113_CABIN2'!F13+'13137_CABIN1'!F13+'13061_PRESSERWEST'!F13+'13085_POTTERY'!F13+'13491_MAINT'!F13+'13645_MARLNORTH'!F13</f>
        <v>0</v>
      </c>
      <c r="G14" s="107">
        <f>'14747_NEWMAINT'!G13+'13112_PERRINE'!G13+'13057_THEATER'!G13++'13059_AUD'!G13+'13068_HENDRICKS'!G13+'13081_COT4'!G13+'13080_COT3'!G13+'13058_DALRYMPLE'!G13+'13065_HALFWAY'!G13+'13060_LIBRARY'!G13+'13067_RANDOMNORTH'!G13+'13077_HAPPYVALLEY'!G13+'13069_CAMPUSCENTER'!G13+'13072_COT5'!G13+'13073_PRESSER'!G13+'13083_MUMFORD'!G13+'13078_COT1'!G13+'13079_COT2'!G13+'13064_SCHRADER'!G13+'13066_ALLTHEWAY'!G13+'13056_DININGHALL'!G13+'13062_SCIENCEBLDG'!G13+'13074_APPLETREE'!G13+'13084_REDHOUSE'!G13+'13082_MACHOUSE'!G13+'13071_RANDOMSOUTH'!G13+'13075_ADMISSIONS'!G13+'13063_HOWLAND'!G13+'14766_WHITTEMORE'!G13+'13070_HAPPYVALLEY'!G13+'13113_CABIN2'!G13+'13137_CABIN1'!G13+'13061_PRESSERWEST'!G13+'13085_POTTERY'!G13+'13491_MAINT'!G13+'13645_MARLNORTH'!G13</f>
        <v>0</v>
      </c>
      <c r="H14" s="130">
        <f>'14747_NEWMAINT'!H13+'13112_PERRINE'!H13+'13057_THEATER'!H13++'13059_AUD'!H13+'13068_HENDRICKS'!H13+'13081_COT4'!H13+'13080_COT3'!H13+'13058_DALRYMPLE'!H13+'13065_HALFWAY'!H13+'13060_LIBRARY'!H13+'13067_RANDOMNORTH'!H13+'13077_HAPPYVALLEY'!H13+'13069_CAMPUSCENTER'!H13+'13072_COT5'!H13+'13073_PRESSER'!H13+'13083_MUMFORD'!H13+'13078_COT1'!H13+'13079_COT2'!H13+'13064_SCHRADER'!H13+'13066_ALLTHEWAY'!H13+'13056_DININGHALL'!H13+'13062_SCIENCEBLDG'!H13+'13074_APPLETREE'!H13+'13084_REDHOUSE'!H13+'13082_MACHOUSE'!H13+'13071_RANDOMSOUTH'!H13+'13075_ADMISSIONS'!H13+'13063_HOWLAND'!H13+'14766_WHITTEMORE'!H13+'13070_HAPPYVALLEY'!H13+'13113_CABIN2'!H13+'13137_CABIN1'!H13+'13061_PRESSERWEST'!H13+'13085_POTTERY'!H13+'13491_MAINT'!H13+'13645_MARLNORTH'!H13</f>
        <v>0</v>
      </c>
      <c r="I14" s="107">
        <f>'14747_NEWMAINT'!I13+'13112_PERRINE'!I13+'13057_THEATER'!I13++'13059_AUD'!I13+'13068_HENDRICKS'!I13+'13081_COT4'!I13+'13080_COT3'!I13+'13058_DALRYMPLE'!I13+'13065_HALFWAY'!I13+'13060_LIBRARY'!I13+'13067_RANDOMNORTH'!I13+'13077_HAPPYVALLEY'!I13+'13069_CAMPUSCENTER'!I13+'13072_COT5'!I13+'13073_PRESSER'!I13+'13083_MUMFORD'!I13+'13078_COT1'!I13+'13079_COT2'!I13+'13064_SCHRADER'!I13+'13066_ALLTHEWAY'!I13+'13056_DININGHALL'!I13+'13062_SCIENCEBLDG'!I13+'13074_APPLETREE'!I13+'13084_REDHOUSE'!I13+'13082_MACHOUSE'!I13+'13071_RANDOMSOUTH'!I13+'13075_ADMISSIONS'!I13+'13063_HOWLAND'!I13+'14766_WHITTEMORE'!I13+'13070_HAPPYVALLEY'!I13+'13113_CABIN2'!I13+'13137_CABIN1'!I13+'13061_PRESSERWEST'!I13+'13085_POTTERY'!I13+'13491_MAINT'!I13+'13645_MARLNORTH'!I13</f>
        <v>0</v>
      </c>
      <c r="J14" s="130">
        <f>'14747_NEWMAINT'!J13+'13112_PERRINE'!J13+'13057_THEATER'!J13+'13059_AUD'!J13+'13068_HENDRICKS'!J13+'13081_COT4'!J13+'13080_COT3'!J13+'13058_DALRYMPLE'!J13+'13065_HALFWAY'!J13+'13060_LIBRARY'!J13+'13067_RANDOMNORTH'!J13+'13077_HAPPYVALLEY'!J13+'13069_CAMPUSCENTER'!J13+'13072_COT5'!J13+'13073_PRESSER'!J13+'13083_MUMFORD'!J13+'13078_COT1'!J13+'13079_COT2'!J13+'13064_SCHRADER'!J13+'13066_ALLTHEWAY'!J13+'13056_DININGHALL'!J13+'13062_SCIENCEBLDG'!J13+'13074_APPLETREE'!J13+'13084_REDHOUSE'!J13+'13082_MACHOUSE'!J13+'13071_RANDOMSOUTH'!J13+'13075_ADMISSIONS'!J13+'13063_HOWLAND'!J13+'14766_WHITTEMORE'!J13+'13070_HAPPYVALLEY'!J13+'13113_CABIN2'!J13+'13137_CABIN1'!J13+'13061_PRESSERWEST'!J13+'13085_POTTERY'!J13+'13491_MAINT'!J13+'13645_MARLNORTH'!J13+'17736_OUTOFWAY'!B13</f>
        <v>0</v>
      </c>
      <c r="K14" s="107">
        <f>'14747_NEWMAINT'!K13+'13112_PERRINE'!K13+'13057_THEATER'!K13+'13059_AUD'!K13+'13068_HENDRICKS'!K13+'13081_COT4'!K13+'13080_COT3'!K13+'13058_DALRYMPLE'!K13+'13065_HALFWAY'!K13+'13060_LIBRARY'!K13+'13067_RANDOMNORTH'!K13+'13077_HAPPYVALLEY'!K13+'13069_CAMPUSCENTER'!K13+'13072_COT5'!K13+'13073_PRESSER'!K13+'13083_MUMFORD'!K13+'13078_COT1'!K13+'13079_COT2'!K13+'13064_SCHRADER'!K13+'13066_ALLTHEWAY'!K13+'13056_DININGHALL'!K13+'13062_SCIENCEBLDG'!K13+'13074_APPLETREE'!K13+'13084_REDHOUSE'!K13+'13082_MACHOUSE'!K13+'13071_RANDOMSOUTH'!K13+'13075_ADMISSIONS'!K13+'13063_HOWLAND'!K13+'14766_WHITTEMORE'!K13+'13070_HAPPYVALLEY'!K13+'13113_CABIN2'!K13+'13137_CABIN1'!K13+'13061_PRESSERWEST'!K13+'13085_POTTERY'!K13+'13491_MAINT'!K13+'13645_MARLNORTH'!K13+'17736_OUTOFWAY'!C13</f>
        <v>0</v>
      </c>
      <c r="L14" s="132">
        <f>'14747_NEWMAINT'!L13+'13112_PERRINE'!L13+'13057_THEATER'!L13++'13059_AUD'!L13+'13068_HENDRICKS'!L13+'13081_COT4'!L13+'13080_COT3'!L13+'13058_DALRYMPLE'!L13+'13065_HALFWAY'!L13+'13060_LIBRARY'!L13+'13067_RANDOMNORTH'!L13+'13077_HAPPYVALLEY'!L13+'13069_CAMPUSCENTER'!L13+'13072_COT5'!L13+'13073_PRESSER'!L13+'13083_MUMFORD'!L13+'13078_COT1'!L13+'13079_COT2'!L13+'13064_SCHRADER'!L13+'13066_ALLTHEWAY'!L13+'13056_DININGHALL'!L13+'13062_SCIENCEBLDG'!L13+'13074_APPLETREE'!L13+'13084_REDHOUSE'!L13+'13082_MACHOUSE'!L13+'13071_RANDOMSOUTH'!L13+'13075_ADMISSIONS'!L13+'13063_HOWLAND'!L13+'14766_WHITTEMORE'!L13+'13070_HAPPYVALLEY'!L13+'13113_CABIN2'!L13+'13137_CABIN1'!L13+'13061_PRESSERWEST'!L13+'13085_POTTERY'!L13+'13491_MAINT'!L13+'13645_MARLNORTH'!L13+'17736_OUTOFWAY'!D13</f>
        <v>1091.42</v>
      </c>
      <c r="M14" s="107">
        <f>'14747_NEWMAINT'!M13+'13112_PERRINE'!M13+'13057_THEATER'!M13++'13059_AUD'!M13+'13068_HENDRICKS'!M13+'13081_COT4'!M13+'13080_COT3'!M13+'13058_DALRYMPLE'!M13+'13065_HALFWAY'!M13+'13060_LIBRARY'!M13+'13067_RANDOMNORTH'!M13+'13077_HAPPYVALLEY'!M13+'13069_CAMPUSCENTER'!M13+'13072_COT5'!M13+'13073_PRESSER'!M13+'13083_MUMFORD'!M13+'13078_COT1'!M13+'13079_COT2'!M13+'13064_SCHRADER'!M13+'13066_ALLTHEWAY'!M13+'13056_DININGHALL'!M13+'13062_SCIENCEBLDG'!M13+'13074_APPLETREE'!M13+'13084_REDHOUSE'!M13+'13082_MACHOUSE'!M13+'13071_RANDOMSOUTH'!M13+'13075_ADMISSIONS'!M13+'13063_HOWLAND'!M13+'14766_WHITTEMORE'!M13+'13070_HAPPYVALLEY'!M13+'13113_CABIN2'!M13+'13137_CABIN1'!M13+'13061_PRESSERWEST'!M13+'13085_POTTERY'!M13+'13491_MAINT'!M13+'13645_MARLNORTH'!M13</f>
        <v>923.4</v>
      </c>
      <c r="N14" s="132">
        <f>'14747_NEWMAINT'!N13+'13112_PERRINE'!N13+'13057_THEATER'!N13++'13059_AUD'!N13+'13068_HENDRICKS'!N13+'13081_COT4'!N13+'13080_COT3'!N13+'13058_DALRYMPLE'!N13+'13065_HALFWAY'!N13+'13060_LIBRARY'!N13+'13067_RANDOMNORTH'!N13+'13077_HAPPYVALLEY'!N13+'13069_CAMPUSCENTER'!N13+'13072_COT5'!N13+'13073_PRESSER'!N13+'13083_MUMFORD'!N13+'13078_COT1'!N13+'13079_COT2'!N13+'13064_SCHRADER'!N13+'13066_ALLTHEWAY'!N13+'13056_DININGHALL'!N13+'13062_SCIENCEBLDG'!N13+'13074_APPLETREE'!N13+'13084_REDHOUSE'!N13+'13082_MACHOUSE'!N13+'13071_RANDOMSOUTH'!N13+'13075_ADMISSIONS'!N13+'13063_HOWLAND'!N13+'14766_WHITTEMORE'!N13+'13070_HAPPYVALLEY'!N13+'13113_CABIN2'!N13+'13137_CABIN1'!N13+'13061_PRESSERWEST'!N13+'13085_POTTERY'!N13+'13491_MAINT'!N13+'13645_MARLNORTH'!N13+'17736_OUTOFWAY'!F13</f>
        <v>464.35</v>
      </c>
      <c r="O14" s="107">
        <f>'14747_NEWMAINT'!O13+'13112_PERRINE'!O13+'13057_THEATER'!O13++'13059_AUD'!O13+'13068_HENDRICKS'!O13+'13081_COT4'!O13+'13080_COT3'!O13+'13058_DALRYMPLE'!O13+'13065_HALFWAY'!O13+'13060_LIBRARY'!O13+'13067_RANDOMNORTH'!O13+'13077_HAPPYVALLEY'!O13+'13069_CAMPUSCENTER'!O13+'13072_COT5'!O13+'13073_PRESSER'!O13+'13083_MUMFORD'!O13+'13078_COT1'!O13+'13079_COT2'!O13+'13064_SCHRADER'!O13+'13066_ALLTHEWAY'!O13+'13056_DININGHALL'!O13+'13062_SCIENCEBLDG'!O13+'13074_APPLETREE'!O13+'13084_REDHOUSE'!O13+'13082_MACHOUSE'!O13+'13071_RANDOMSOUTH'!O13+'13075_ADMISSIONS'!O13+'13063_HOWLAND'!O13+'14766_WHITTEMORE'!O13+'13070_HAPPYVALLEY'!O13+'13113_CABIN2'!O13+'13137_CABIN1'!O13+'13061_PRESSERWEST'!O13+'13085_POTTERY'!O13+'13491_MAINT'!O13+'13645_MARLNORTH'!O13</f>
        <v>353.8</v>
      </c>
      <c r="P14" s="132">
        <f>'13056_DININGHALL'!P13+'13057_THEATER'!P13+'13058_DALRYMPLE'!P13+'13059_AUD'!P13+'13060_LIBRARY'!P13+'13061_PRESSERWEST'!P13+'13062_SCIENCEBLDG'!P13+'13063_HOWLAND'!P13+'13064_SCHRADER'!P13+'13065_HALFWAY'!P13+'13066_ALLTHEWAY'!P13+'13067_RANDOMNORTH'!P13+'13068_HENDRICKS'!P13+'13069_CAMPUSCENTER'!P13+'13070_HAPPYVALLEY'!P13+'13071_RANDOMSOUTH'!P13+'13072_COT5'!P13+'13074_APPLETREE'!P13+'13075_ADMISSIONS'!P13+'13077_HAPPYVALLEY'!P13+'13078_COT1'!P13+'13079_COT2'!P13+'13080_COT3'!P13+'13081_COT4'!P13+'13082_MACHOUSE'!P13+'13083_MUMFORD'!P13+'13084_REDHOUSE'!P13+'13085_POTTERY'!P13+'13112_PERRINE'!P13+'13113_CABIN2'!P13+'13137_CABIN1'!P13+'13491_MAINT'!P13+'13645_MARLNORTH'!P13+'14747_NEWMAINT'!P13+'14766_WHITTEMORE'!P13+'17736_OUTOFWAY'!H13+'21054_COT6'!B13</f>
        <v>0</v>
      </c>
      <c r="Q14" s="174">
        <f>'13056_DININGHALL'!Q13+'13057_THEATER'!Q13+'13058_DALRYMPLE'!Q13+'13059_AUD'!Q13+'13060_LIBRARY'!Q13+'13061_PRESSERWEST'!Q13+'13062_SCIENCEBLDG'!Q13+'13063_HOWLAND'!Q13+'13064_SCHRADER'!Q13+'13065_HALFWAY'!Q13+'13066_ALLTHEWAY'!Q13+'13067_RANDOMNORTH'!Q13+'13068_HENDRICKS'!Q13+'13069_CAMPUSCENTER'!Q13+'13070_HAPPYVALLEY'!Q13+'13071_RANDOMSOUTH'!Q13+'13072_COT5'!Q13+'13074_APPLETREE'!Q13+'13075_ADMISSIONS'!Q13+'13077_HAPPYVALLEY'!Q13+'13078_COT1'!Q13+'13079_COT2'!Q13+'13080_COT3'!Q13+'13081_COT4'!Q13+'13082_MACHOUSE'!Q13+'13083_MUMFORD'!Q13+'13084_REDHOUSE'!Q13+'13085_POTTERY'!Q13+'13112_PERRINE'!Q13+'13113_CABIN2'!Q13+'13137_CABIN1'!Q13+'13491_MAINT'!Q13+'13645_MARLNORTH'!Q13+'14747_NEWMAINT'!Q13+'14766_WHITTEMORE'!Q13+'17736_OUTOFWAY'!I13+'21054_COT6'!C13</f>
        <v>0</v>
      </c>
      <c r="R14" s="132">
        <f>'14747_NEWMAINT'!R13+'13112_PERRINE'!R13+'13057_THEATER'!R13++'13059_AUD'!R13+'13068_HENDRICKS'!R13+'13081_COT4'!R13+'13080_COT3'!R13+'13058_DALRYMPLE'!R13+'13065_HALFWAY'!R13+'13060_LIBRARY'!R13+'13067_RANDOMNORTH'!R13+'13077_HAPPYVALLEY'!R13+'13069_CAMPUSCENTER'!R13+'13072_COT5'!R13+'13073_PRESSER'!R13+'13083_MUMFORD'!R13+'13078_COT1'!R13+'13079_COT2'!R13+'13064_SCHRADER'!R13+'13066_ALLTHEWAY'!R13+'13056_DININGHALL'!R13+'13062_SCIENCEBLDG'!R13+'13074_APPLETREE'!R13+'13084_REDHOUSE'!R13+'13082_MACHOUSE'!R13+'13071_RANDOMSOUTH'!R13+'13075_ADMISSIONS'!R13+'13063_HOWLAND'!R13+'14766_WHITTEMORE'!R13+'13070_HAPPYVALLEY'!R13+'13113_CABIN2'!R13+'13137_CABIN1'!R13+'13061_PRESSERWEST'!R13+'13085_POTTERY'!R13+'13491_MAINT'!R13+'13645_MARLNORTH'!R13+'17736_OUTOFWAY'!J13</f>
        <v>0</v>
      </c>
      <c r="S14" s="107">
        <f>'14747_NEWMAINT'!S13+'13112_PERRINE'!S13+'13057_THEATER'!S13++'13059_AUD'!S13+'13068_HENDRICKS'!S13+'13081_COT4'!S13+'13080_COT3'!S13+'13058_DALRYMPLE'!S13+'13065_HALFWAY'!S13+'13060_LIBRARY'!S13+'13067_RANDOMNORTH'!S13+'13077_HAPPYVALLEY'!S13+'13069_CAMPUSCENTER'!S13+'13072_COT5'!S13+'13073_PRESSER'!S13+'13083_MUMFORD'!S13+'13078_COT1'!S13+'13079_COT2'!S13+'13064_SCHRADER'!S13+'13066_ALLTHEWAY'!S13+'13056_DININGHALL'!S13+'13062_SCIENCEBLDG'!S13+'13074_APPLETREE'!S13+'13084_REDHOUSE'!S13+'13082_MACHOUSE'!S13+'13071_RANDOMSOUTH'!S13+'13075_ADMISSIONS'!S13+'13063_HOWLAND'!S13+'14766_WHITTEMORE'!S13+'13070_HAPPYVALLEY'!S13+'13113_CABIN2'!S13+'13137_CABIN1'!S13+'13061_PRESSERWEST'!S13+'13085_POTTERY'!S13+'13491_MAINT'!S13+'13645_MARLNORTH'!S13</f>
        <v>0</v>
      </c>
      <c r="T14" s="132">
        <f>'14747_NEWMAINT'!T13+'13112_PERRINE'!T13+'13057_THEATER'!T13++'13059_AUD'!T13+'13068_HENDRICKS'!T13+'13081_COT4'!T13+'13080_COT3'!T13+'13058_DALRYMPLE'!T13+'13065_HALFWAY'!T13+'13060_LIBRARY'!T13+'13067_RANDOMNORTH'!T13+'13077_HAPPYVALLEY'!T13+'13069_CAMPUSCENTER'!T13+'13072_COT5'!T13+'13073_PRESSER'!T13+'13083_MUMFORD'!T13+'13078_COT1'!T13+'13079_COT2'!T13+'13064_SCHRADER'!T13+'13066_ALLTHEWAY'!T13+'13056_DININGHALL'!T13+'13062_SCIENCEBLDG'!T13+'13074_APPLETREE'!T13+'13084_REDHOUSE'!T13+'13082_MACHOUSE'!T13+'13071_RANDOMSOUTH'!T13+'13075_ADMISSIONS'!T13+'13063_HOWLAND'!T13+'14766_WHITTEMORE'!T13+'13070_HAPPYVALLEY'!T13+'13113_CABIN2'!T13+'13137_CABIN1'!T13+'13061_PRESSERWEST'!T13+'13085_POTTERY'!T13+'13491_MAINT'!T13+'13645_MARLNORTH'!T13+'17736_OUTOFWAY'!L13</f>
        <v>0</v>
      </c>
      <c r="U14" s="107">
        <f>'14747_NEWMAINT'!U13+'13112_PERRINE'!U13+'13057_THEATER'!U13++'13059_AUD'!U13+'13068_HENDRICKS'!U13+'13081_COT4'!U13+'13080_COT3'!U13+'13058_DALRYMPLE'!U13+'13065_HALFWAY'!U13+'13060_LIBRARY'!U13+'13067_RANDOMNORTH'!U13+'13077_HAPPYVALLEY'!U13+'13069_CAMPUSCENTER'!U13+'13072_COT5'!U13+'13073_PRESSER'!U13+'13083_MUMFORD'!U13+'13078_COT1'!U13+'13079_COT2'!U13+'13064_SCHRADER'!U13+'13066_ALLTHEWAY'!U13+'13056_DININGHALL'!U13+'13062_SCIENCEBLDG'!U13+'13074_APPLETREE'!U13+'13084_REDHOUSE'!U13+'13082_MACHOUSE'!U13+'13071_RANDOMSOUTH'!U13+'13075_ADMISSIONS'!U13+'13063_HOWLAND'!U13+'14766_WHITTEMORE'!U13+'13070_HAPPYVALLEY'!U13+'13113_CABIN2'!U13+'13137_CABIN1'!U13+'13061_PRESSERWEST'!U13+'13085_POTTERY'!U13+'13491_MAINT'!U13+'13645_MARLNORTH'!U13</f>
        <v>0</v>
      </c>
    </row>
    <row r="15" spans="1:21" ht="15">
      <c r="A15" s="2" t="s">
        <v>16</v>
      </c>
      <c r="B15" s="73">
        <f>'14747_NEWMAINT'!B14+'13112_PERRINE'!B14+'13057_THEATER'!B14++'13059_AUD'!B14+'13068_HENDRICKS'!B14+'13081_COT4'!B14+'13080_COT3'!B14+'13058_DALRYMPLE'!B14+'13065_HALFWAY'!B14+'13060_LIBRARY'!B14+'13067_RANDOMNORTH'!B14+'13077_HAPPYVALLEY'!B14+'13069_CAMPUSCENTER'!B14+'13072_COT5'!B14+'13073_PRESSER'!B14+'13083_MUMFORD'!B14+'13078_COT1'!B14+'13079_COT2'!B14+'13064_SCHRADER'!B14+'13066_ALLTHEWAY'!B14+'13056_DININGHALL'!B14+'13062_SCIENCEBLDG'!B14+'13074_APPLETREE'!B14+'13084_REDHOUSE'!B14+'13082_MACHOUSE'!B14+'13071_RANDOMSOUTH'!B14+'13075_ADMISSIONS'!B14+'13063_HOWLAND'!B14+'14766_WHITTEMORE'!B14+'13070_HAPPYVALLEY'!B14+'13113_CABIN2'!B14+'13137_CABIN1'!B14+'13061_PRESSERWEST'!B14+'13085_POTTERY'!B14</f>
        <v>0</v>
      </c>
      <c r="C15" s="108">
        <f>'14747_NEWMAINT'!C14+'13112_PERRINE'!C14+'13057_THEATER'!C14++'13059_AUD'!C14+'13068_HENDRICKS'!C14+'13081_COT4'!C14+'13080_COT3'!C14+'13058_DALRYMPLE'!C14+'13065_HALFWAY'!C14+'13060_LIBRARY'!C14+'13067_RANDOMNORTH'!C14+'13077_HAPPYVALLEY'!C14+'13069_CAMPUSCENTER'!C14+'13072_COT5'!C14+'13073_PRESSER'!C14+'13083_MUMFORD'!C14+'13078_COT1'!C14+'13079_COT2'!C14+'13064_SCHRADER'!C14+'13066_ALLTHEWAY'!C14+'13056_DININGHALL'!C14+'13062_SCIENCEBLDG'!C14+'13074_APPLETREE'!C14+'13084_REDHOUSE'!C14+'13082_MACHOUSE'!C14+'13071_RANDOMSOUTH'!C14+'13075_ADMISSIONS'!C14+'13063_HOWLAND'!C14+'14766_WHITTEMORE'!C14+'13070_HAPPYVALLEY'!C14+'13113_CABIN2'!C14+'13137_CABIN1'!C14+'13061_PRESSERWEST'!C14+'13085_POTTERY'!C14</f>
        <v>0</v>
      </c>
      <c r="D15" s="73">
        <f>'14747_NEWMAINT'!D14+'13112_PERRINE'!D14+'13057_THEATER'!D14++'13059_AUD'!D14+'13068_HENDRICKS'!D14+'13081_COT4'!D14+'13080_COT3'!D14+'13058_DALRYMPLE'!D14+'13065_HALFWAY'!D14+'13060_LIBRARY'!D14+'13067_RANDOMNORTH'!D14+'13077_HAPPYVALLEY'!D14+'13069_CAMPUSCENTER'!D14+'13072_COT5'!D14+'13073_PRESSER'!D14+'13083_MUMFORD'!D14+'13078_COT1'!D14+'13079_COT2'!D14+'13064_SCHRADER'!D14+'13066_ALLTHEWAY'!D14+'13056_DININGHALL'!D14+'13062_SCIENCEBLDG'!D14+'13074_APPLETREE'!D14+'13084_REDHOUSE'!D14+'13082_MACHOUSE'!D14+'13071_RANDOMSOUTH'!D14+'13075_ADMISSIONS'!D14+'13063_HOWLAND'!D14+'14766_WHITTEMORE'!D14+'13070_HAPPYVALLEY'!D14+'13113_CABIN2'!D14+'13137_CABIN1'!D14+'13061_PRESSERWEST'!D14+'13085_POTTERY'!D14+'13491_MAINT'!D14+'13645_MARLNORTH'!D14</f>
        <v>1386.2700000000004</v>
      </c>
      <c r="E15" s="107">
        <f>'14747_NEWMAINT'!E14+'13112_PERRINE'!E14+'13057_THEATER'!E14++'13059_AUD'!E14+'13068_HENDRICKS'!E14+'13081_COT4'!E14+'13080_COT3'!E14+'13058_DALRYMPLE'!E14+'13065_HALFWAY'!E14+'13060_LIBRARY'!E14+'13067_RANDOMNORTH'!E14+'13077_HAPPYVALLEY'!E14+'13069_CAMPUSCENTER'!E14+'13072_COT5'!E14+'13073_PRESSER'!E14+'13083_MUMFORD'!E14+'13078_COT1'!E14+'13079_COT2'!E14+'13064_SCHRADER'!E14+'13066_ALLTHEWAY'!E14+'13056_DININGHALL'!E14+'13062_SCIENCEBLDG'!E14+'13074_APPLETREE'!E14+'13084_REDHOUSE'!E14+'13082_MACHOUSE'!E14+'13071_RANDOMSOUTH'!E14+'13075_ADMISSIONS'!E14+'13063_HOWLAND'!E14+'14766_WHITTEMORE'!E14+'13070_HAPPYVALLEY'!E14+'13113_CABIN2'!E14+'13137_CABIN1'!E14+'13061_PRESSERWEST'!E14+'13085_POTTERY'!E14+'13491_MAINT'!E14+'13645_MARLNORTH'!E14</f>
        <v>1889.3000000000002</v>
      </c>
      <c r="F15" s="73">
        <f>'14747_NEWMAINT'!F14+'13112_PERRINE'!F14+'13057_THEATER'!F14++'13059_AUD'!F14+'13068_HENDRICKS'!F14+'13081_COT4'!F14+'13080_COT3'!F14+'13058_DALRYMPLE'!F14+'13065_HALFWAY'!F14+'13060_LIBRARY'!F14+'13067_RANDOMNORTH'!F14+'13077_HAPPYVALLEY'!F14+'13069_CAMPUSCENTER'!F14+'13072_COT5'!F14+'13073_PRESSER'!F14+'13083_MUMFORD'!F14+'13078_COT1'!F14+'13079_COT2'!F14+'13064_SCHRADER'!F14+'13066_ALLTHEWAY'!F14+'13056_DININGHALL'!F14+'13062_SCIENCEBLDG'!F14+'13074_APPLETREE'!F14+'13084_REDHOUSE'!F14+'13082_MACHOUSE'!F14+'13071_RANDOMSOUTH'!F14+'13075_ADMISSIONS'!F14+'13063_HOWLAND'!F14+'14766_WHITTEMORE'!F14+'13070_HAPPYVALLEY'!F14+'13113_CABIN2'!F14+'13137_CABIN1'!F14+'13061_PRESSERWEST'!F14+'13085_POTTERY'!F14+'13491_MAINT'!F14+'13645_MARLNORTH'!F14</f>
        <v>3078.12</v>
      </c>
      <c r="G15" s="107">
        <f>'14747_NEWMAINT'!G14+'13112_PERRINE'!G14+'13057_THEATER'!G14++'13059_AUD'!G14+'13068_HENDRICKS'!G14+'13081_COT4'!G14+'13080_COT3'!G14+'13058_DALRYMPLE'!G14+'13065_HALFWAY'!G14+'13060_LIBRARY'!G14+'13067_RANDOMNORTH'!G14+'13077_HAPPYVALLEY'!G14+'13069_CAMPUSCENTER'!G14+'13072_COT5'!G14+'13073_PRESSER'!G14+'13083_MUMFORD'!G14+'13078_COT1'!G14+'13079_COT2'!G14+'13064_SCHRADER'!G14+'13066_ALLTHEWAY'!G14+'13056_DININGHALL'!G14+'13062_SCIENCEBLDG'!G14+'13074_APPLETREE'!G14+'13084_REDHOUSE'!G14+'13082_MACHOUSE'!G14+'13071_RANDOMSOUTH'!G14+'13075_ADMISSIONS'!G14+'13063_HOWLAND'!G14+'14766_WHITTEMORE'!G14+'13070_HAPPYVALLEY'!G14+'13113_CABIN2'!G14+'13137_CABIN1'!G14+'13061_PRESSERWEST'!G14+'13085_POTTERY'!G14+'13491_MAINT'!G14+'13645_MARLNORTH'!G14</f>
        <v>2099.8700000000003</v>
      </c>
      <c r="H15" s="130">
        <f>'14747_NEWMAINT'!H14+'13112_PERRINE'!H14+'13057_THEATER'!H14++'13059_AUD'!H14+'13068_HENDRICKS'!H14+'13081_COT4'!H14+'13080_COT3'!H14+'13058_DALRYMPLE'!H14+'13065_HALFWAY'!H14+'13060_LIBRARY'!H14+'13067_RANDOMNORTH'!H14+'13077_HAPPYVALLEY'!H14+'13069_CAMPUSCENTER'!H14+'13072_COT5'!H14+'13073_PRESSER'!H14+'13083_MUMFORD'!H14+'13078_COT1'!H14+'13079_COT2'!H14+'13064_SCHRADER'!H14+'13066_ALLTHEWAY'!H14+'13056_DININGHALL'!H14+'13062_SCIENCEBLDG'!H14+'13074_APPLETREE'!H14+'13084_REDHOUSE'!H14+'13082_MACHOUSE'!H14+'13071_RANDOMSOUTH'!H14+'13075_ADMISSIONS'!H14+'13063_HOWLAND'!H14+'14766_WHITTEMORE'!H14+'13070_HAPPYVALLEY'!H14+'13113_CABIN2'!H14+'13137_CABIN1'!H14+'13061_PRESSERWEST'!H14+'13085_POTTERY'!H14+'13491_MAINT'!H14+'13645_MARLNORTH'!H14</f>
        <v>2765.5099999999998</v>
      </c>
      <c r="I15" s="107">
        <f>'14747_NEWMAINT'!I14+'13112_PERRINE'!I14+'13057_THEATER'!I14++'13059_AUD'!I14+'13068_HENDRICKS'!I14+'13081_COT4'!I14+'13080_COT3'!I14+'13058_DALRYMPLE'!I14+'13065_HALFWAY'!I14+'13060_LIBRARY'!I14+'13067_RANDOMNORTH'!I14+'13077_HAPPYVALLEY'!I14+'13069_CAMPUSCENTER'!I14+'13072_COT5'!I14+'13073_PRESSER'!I14+'13083_MUMFORD'!I14+'13078_COT1'!I14+'13079_COT2'!I14+'13064_SCHRADER'!I14+'13066_ALLTHEWAY'!I14+'13056_DININGHALL'!I14+'13062_SCIENCEBLDG'!I14+'13074_APPLETREE'!I14+'13084_REDHOUSE'!I14+'13082_MACHOUSE'!I14+'13071_RANDOMSOUTH'!I14+'13075_ADMISSIONS'!I14+'13063_HOWLAND'!I14+'14766_WHITTEMORE'!I14+'13070_HAPPYVALLEY'!I14+'13113_CABIN2'!I14+'13137_CABIN1'!I14+'13061_PRESSERWEST'!I14+'13085_POTTERY'!I14+'13491_MAINT'!I14+'13645_MARLNORTH'!I14</f>
        <v>2661.7000000000003</v>
      </c>
      <c r="J15" s="130">
        <f>'14747_NEWMAINT'!J14+'13112_PERRINE'!J14+'13057_THEATER'!J14+'13059_AUD'!J14+'13068_HENDRICKS'!J14+'13081_COT4'!J14+'13080_COT3'!J14+'13058_DALRYMPLE'!J14+'13065_HALFWAY'!J14+'13060_LIBRARY'!J14+'13067_RANDOMNORTH'!J14+'13077_HAPPYVALLEY'!J14+'13069_CAMPUSCENTER'!J14+'13072_COT5'!J14+'13073_PRESSER'!J14+'13083_MUMFORD'!J14+'13078_COT1'!J14+'13079_COT2'!J14+'13064_SCHRADER'!J14+'13066_ALLTHEWAY'!J14+'13056_DININGHALL'!J14+'13062_SCIENCEBLDG'!J14+'13074_APPLETREE'!J14+'13084_REDHOUSE'!J14+'13082_MACHOUSE'!J14+'13071_RANDOMSOUTH'!J14+'13075_ADMISSIONS'!J14+'13063_HOWLAND'!J14+'14766_WHITTEMORE'!J14+'13070_HAPPYVALLEY'!J14+'13113_CABIN2'!J14+'13137_CABIN1'!J14+'13061_PRESSERWEST'!J14+'13085_POTTERY'!J14+'13491_MAINT'!J14+'13645_MARLNORTH'!J14+'17736_OUTOFWAY'!B14</f>
        <v>4270.1162</v>
      </c>
      <c r="K15" s="107">
        <f>'14747_NEWMAINT'!K14+'13112_PERRINE'!K14+'13057_THEATER'!K14+'13059_AUD'!K14+'13068_HENDRICKS'!K14+'13081_COT4'!K14+'13080_COT3'!K14+'13058_DALRYMPLE'!K14+'13065_HALFWAY'!K14+'13060_LIBRARY'!K14+'13067_RANDOMNORTH'!K14+'13077_HAPPYVALLEY'!K14+'13069_CAMPUSCENTER'!K14+'13072_COT5'!K14+'13073_PRESSER'!K14+'13083_MUMFORD'!K14+'13078_COT1'!K14+'13079_COT2'!K14+'13064_SCHRADER'!K14+'13066_ALLTHEWAY'!K14+'13056_DININGHALL'!K14+'13062_SCIENCEBLDG'!K14+'13074_APPLETREE'!K14+'13084_REDHOUSE'!K14+'13082_MACHOUSE'!K14+'13071_RANDOMSOUTH'!K14+'13075_ADMISSIONS'!K14+'13063_HOWLAND'!K14+'14766_WHITTEMORE'!K14+'13070_HAPPYVALLEY'!K14+'13113_CABIN2'!K14+'13137_CABIN1'!K14+'13061_PRESSERWEST'!K14+'13085_POTTERY'!K14+'13491_MAINT'!K14+'13645_MARLNORTH'!K14+'17736_OUTOFWAY'!C14</f>
        <v>4400.81</v>
      </c>
      <c r="L15" s="132">
        <f>'14747_NEWMAINT'!L14+'13112_PERRINE'!L14+'13057_THEATER'!L14++'13059_AUD'!L14+'13068_HENDRICKS'!L14+'13081_COT4'!L14+'13080_COT3'!L14+'13058_DALRYMPLE'!L14+'13065_HALFWAY'!L14+'13060_LIBRARY'!L14+'13067_RANDOMNORTH'!L14+'13077_HAPPYVALLEY'!L14+'13069_CAMPUSCENTER'!L14+'13072_COT5'!L14+'13073_PRESSER'!L14+'13083_MUMFORD'!L14+'13078_COT1'!L14+'13079_COT2'!L14+'13064_SCHRADER'!L14+'13066_ALLTHEWAY'!L14+'13056_DININGHALL'!L14+'13062_SCIENCEBLDG'!L14+'13074_APPLETREE'!L14+'13084_REDHOUSE'!L14+'13082_MACHOUSE'!L14+'13071_RANDOMSOUTH'!L14+'13075_ADMISSIONS'!L14+'13063_HOWLAND'!L14+'14766_WHITTEMORE'!L14+'13070_HAPPYVALLEY'!L14+'13113_CABIN2'!L14+'13137_CABIN1'!L14+'13061_PRESSERWEST'!L14+'13085_POTTERY'!L14+'13491_MAINT'!L14+'13645_MARLNORTH'!L14+'17736_OUTOFWAY'!D14</f>
        <v>0</v>
      </c>
      <c r="M15" s="107">
        <f>'14747_NEWMAINT'!M14+'13112_PERRINE'!M14+'13057_THEATER'!M14++'13059_AUD'!M14+'13068_HENDRICKS'!M14+'13081_COT4'!M14+'13080_COT3'!M14+'13058_DALRYMPLE'!M14+'13065_HALFWAY'!M14+'13060_LIBRARY'!M14+'13067_RANDOMNORTH'!M14+'13077_HAPPYVALLEY'!M14+'13069_CAMPUSCENTER'!M14+'13072_COT5'!M14+'13073_PRESSER'!M14+'13083_MUMFORD'!M14+'13078_COT1'!M14+'13079_COT2'!M14+'13064_SCHRADER'!M14+'13066_ALLTHEWAY'!M14+'13056_DININGHALL'!M14+'13062_SCIENCEBLDG'!M14+'13074_APPLETREE'!M14+'13084_REDHOUSE'!M14+'13082_MACHOUSE'!M14+'13071_RANDOMSOUTH'!M14+'13075_ADMISSIONS'!M14+'13063_HOWLAND'!M14+'14766_WHITTEMORE'!M14+'13070_HAPPYVALLEY'!M14+'13113_CABIN2'!M14+'13137_CABIN1'!M14+'13061_PRESSERWEST'!M14+'13085_POTTERY'!M14+'13491_MAINT'!M14+'13645_MARLNORTH'!M14</f>
        <v>0</v>
      </c>
      <c r="N15" s="132">
        <f>'14747_NEWMAINT'!N14+'13112_PERRINE'!N14+'13057_THEATER'!N14++'13059_AUD'!N14+'13068_HENDRICKS'!N14+'13081_COT4'!N14+'13080_COT3'!N14+'13058_DALRYMPLE'!N14+'13065_HALFWAY'!N14+'13060_LIBRARY'!N14+'13067_RANDOMNORTH'!N14+'13077_HAPPYVALLEY'!N14+'13069_CAMPUSCENTER'!N14+'13072_COT5'!N14+'13073_PRESSER'!N14+'13083_MUMFORD'!N14+'13078_COT1'!N14+'13079_COT2'!N14+'13064_SCHRADER'!N14+'13066_ALLTHEWAY'!N14+'13056_DININGHALL'!N14+'13062_SCIENCEBLDG'!N14+'13074_APPLETREE'!N14+'13084_REDHOUSE'!N14+'13082_MACHOUSE'!N14+'13071_RANDOMSOUTH'!N14+'13075_ADMISSIONS'!N14+'13063_HOWLAND'!N14+'14766_WHITTEMORE'!N14+'13070_HAPPYVALLEY'!N14+'13113_CABIN2'!N14+'13137_CABIN1'!N14+'13061_PRESSERWEST'!N14+'13085_POTTERY'!N14+'13491_MAINT'!N14+'13645_MARLNORTH'!N14+'17736_OUTOFWAY'!F14</f>
        <v>2951.3799999999997</v>
      </c>
      <c r="O15" s="107">
        <f>'14747_NEWMAINT'!O14+'13112_PERRINE'!O14+'13057_THEATER'!O14++'13059_AUD'!O14+'13068_HENDRICKS'!O14+'13081_COT4'!O14+'13080_COT3'!O14+'13058_DALRYMPLE'!O14+'13065_HALFWAY'!O14+'13060_LIBRARY'!O14+'13067_RANDOMNORTH'!O14+'13077_HAPPYVALLEY'!O14+'13069_CAMPUSCENTER'!O14+'13072_COT5'!O14+'13073_PRESSER'!O14+'13083_MUMFORD'!O14+'13078_COT1'!O14+'13079_COT2'!O14+'13064_SCHRADER'!O14+'13066_ALLTHEWAY'!O14+'13056_DININGHALL'!O14+'13062_SCIENCEBLDG'!O14+'13074_APPLETREE'!O14+'13084_REDHOUSE'!O14+'13082_MACHOUSE'!O14+'13071_RANDOMSOUTH'!O14+'13075_ADMISSIONS'!O14+'13063_HOWLAND'!O14+'14766_WHITTEMORE'!O14+'13070_HAPPYVALLEY'!O14+'13113_CABIN2'!O14+'13137_CABIN1'!O14+'13061_PRESSERWEST'!O14+'13085_POTTERY'!O14+'13491_MAINT'!O14+'13645_MARLNORTH'!O14</f>
        <v>2617.2000000000003</v>
      </c>
      <c r="P15" s="132">
        <f>'13056_DININGHALL'!P14+'13057_THEATER'!P14+'13058_DALRYMPLE'!P14+'13059_AUD'!P14+'13060_LIBRARY'!P14+'13061_PRESSERWEST'!P14+'13062_SCIENCEBLDG'!P14+'13063_HOWLAND'!P14+'13064_SCHRADER'!P14+'13065_HALFWAY'!P14+'13066_ALLTHEWAY'!P14+'13067_RANDOMNORTH'!P14+'13068_HENDRICKS'!P14+'13069_CAMPUSCENTER'!P14+'13070_HAPPYVALLEY'!P14+'13071_RANDOMSOUTH'!P14+'13072_COT5'!P14+'13074_APPLETREE'!P14+'13075_ADMISSIONS'!P14+'13077_HAPPYVALLEY'!P14+'13078_COT1'!P14+'13079_COT2'!P14+'13080_COT3'!P14+'13081_COT4'!P14+'13082_MACHOUSE'!P14+'13083_MUMFORD'!P14+'13084_REDHOUSE'!P14+'13085_POTTERY'!P14+'13112_PERRINE'!P14+'13113_CABIN2'!P14+'13137_CABIN1'!P14+'13491_MAINT'!P14+'13645_MARLNORTH'!P14+'14747_NEWMAINT'!P14+'14766_WHITTEMORE'!P14+'17736_OUTOFWAY'!H14+'21054_COT6'!B14</f>
        <v>5410.76</v>
      </c>
      <c r="Q15" s="174">
        <f>'13056_DININGHALL'!Q14+'13057_THEATER'!Q14+'13058_DALRYMPLE'!Q14+'13059_AUD'!Q14+'13060_LIBRARY'!Q14+'13061_PRESSERWEST'!Q14+'13062_SCIENCEBLDG'!Q14+'13063_HOWLAND'!Q14+'13064_SCHRADER'!Q14+'13065_HALFWAY'!Q14+'13066_ALLTHEWAY'!Q14+'13067_RANDOMNORTH'!Q14+'13068_HENDRICKS'!Q14+'13069_CAMPUSCENTER'!Q14+'13070_HAPPYVALLEY'!Q14+'13071_RANDOMSOUTH'!Q14+'13072_COT5'!Q14+'13074_APPLETREE'!Q14+'13075_ADMISSIONS'!Q14+'13077_HAPPYVALLEY'!Q14+'13078_COT1'!Q14+'13079_COT2'!Q14+'13080_COT3'!Q14+'13081_COT4'!Q14+'13082_MACHOUSE'!Q14+'13083_MUMFORD'!Q14+'13084_REDHOUSE'!Q14+'13085_POTTERY'!Q14+'13112_PERRINE'!Q14+'13113_CABIN2'!Q14+'13137_CABIN1'!Q14+'13491_MAINT'!Q14+'13645_MARLNORTH'!Q14+'14747_NEWMAINT'!Q14+'14766_WHITTEMORE'!Q14+'17736_OUTOFWAY'!I14+'21054_COT6'!C14</f>
        <v>2580.2999999999997</v>
      </c>
      <c r="R15" s="132">
        <f>'14747_NEWMAINT'!R14+'13112_PERRINE'!R14+'13057_THEATER'!R14++'13059_AUD'!R14+'13068_HENDRICKS'!R14+'13081_COT4'!R14+'13080_COT3'!R14+'13058_DALRYMPLE'!R14+'13065_HALFWAY'!R14+'13060_LIBRARY'!R14+'13067_RANDOMNORTH'!R14+'13077_HAPPYVALLEY'!R14+'13069_CAMPUSCENTER'!R14+'13072_COT5'!R14+'13073_PRESSER'!R14+'13083_MUMFORD'!R14+'13078_COT1'!R14+'13079_COT2'!R14+'13064_SCHRADER'!R14+'13066_ALLTHEWAY'!R14+'13056_DININGHALL'!R14+'13062_SCIENCEBLDG'!R14+'13074_APPLETREE'!R14+'13084_REDHOUSE'!R14+'13082_MACHOUSE'!R14+'13071_RANDOMSOUTH'!R14+'13075_ADMISSIONS'!R14+'13063_HOWLAND'!R14+'14766_WHITTEMORE'!R14+'13070_HAPPYVALLEY'!R14+'13113_CABIN2'!R14+'13137_CABIN1'!R14+'13061_PRESSERWEST'!R14+'13085_POTTERY'!R14+'13491_MAINT'!R14+'13645_MARLNORTH'!R14+'17736_OUTOFWAY'!J14</f>
        <v>11697.790000000003</v>
      </c>
      <c r="S15" s="107">
        <f>'14747_NEWMAINT'!S14+'13112_PERRINE'!S14+'13057_THEATER'!S14++'13059_AUD'!S14+'13068_HENDRICKS'!S14+'13081_COT4'!S14+'13080_COT3'!S14+'13058_DALRYMPLE'!S14+'13065_HALFWAY'!S14+'13060_LIBRARY'!S14+'13067_RANDOMNORTH'!S14+'13077_HAPPYVALLEY'!S14+'13069_CAMPUSCENTER'!S14+'13072_COT5'!S14+'13073_PRESSER'!S14+'13083_MUMFORD'!S14+'13078_COT1'!S14+'13079_COT2'!S14+'13064_SCHRADER'!S14+'13066_ALLTHEWAY'!S14+'13056_DININGHALL'!S14+'13062_SCIENCEBLDG'!S14+'13074_APPLETREE'!S14+'13084_REDHOUSE'!S14+'13082_MACHOUSE'!S14+'13071_RANDOMSOUTH'!S14+'13075_ADMISSIONS'!S14+'13063_HOWLAND'!S14+'14766_WHITTEMORE'!S14+'13070_HAPPYVALLEY'!S14+'13113_CABIN2'!S14+'13137_CABIN1'!S14+'13061_PRESSERWEST'!S14+'13085_POTTERY'!S14+'13491_MAINT'!S14+'13645_MARLNORTH'!S14</f>
        <v>4620.199999999999</v>
      </c>
      <c r="T15" s="132">
        <f>'14747_NEWMAINT'!T14+'13112_PERRINE'!T14+'13057_THEATER'!T14++'13059_AUD'!T14+'13068_HENDRICKS'!T14+'13081_COT4'!T14+'13080_COT3'!T14+'13058_DALRYMPLE'!T14+'13065_HALFWAY'!T14+'13060_LIBRARY'!T14+'13067_RANDOMNORTH'!T14+'13077_HAPPYVALLEY'!T14+'13069_CAMPUSCENTER'!T14+'13072_COT5'!T14+'13073_PRESSER'!T14+'13083_MUMFORD'!T14+'13078_COT1'!T14+'13079_COT2'!T14+'13064_SCHRADER'!T14+'13066_ALLTHEWAY'!T14+'13056_DININGHALL'!T14+'13062_SCIENCEBLDG'!T14+'13074_APPLETREE'!T14+'13084_REDHOUSE'!T14+'13082_MACHOUSE'!T14+'13071_RANDOMSOUTH'!T14+'13075_ADMISSIONS'!T14+'13063_HOWLAND'!T14+'14766_WHITTEMORE'!T14+'13070_HAPPYVALLEY'!T14+'13113_CABIN2'!T14+'13137_CABIN1'!T14+'13061_PRESSERWEST'!T14+'13085_POTTERY'!T14+'13491_MAINT'!T14+'13645_MARLNORTH'!T14+'17736_OUTOFWAY'!L14</f>
        <v>0</v>
      </c>
      <c r="U15" s="107">
        <f>'14747_NEWMAINT'!U14+'13112_PERRINE'!U14+'13057_THEATER'!U14++'13059_AUD'!U14+'13068_HENDRICKS'!U14+'13081_COT4'!U14+'13080_COT3'!U14+'13058_DALRYMPLE'!U14+'13065_HALFWAY'!U14+'13060_LIBRARY'!U14+'13067_RANDOMNORTH'!U14+'13077_HAPPYVALLEY'!U14+'13069_CAMPUSCENTER'!U14+'13072_COT5'!U14+'13073_PRESSER'!U14+'13083_MUMFORD'!U14+'13078_COT1'!U14+'13079_COT2'!U14+'13064_SCHRADER'!U14+'13066_ALLTHEWAY'!U14+'13056_DININGHALL'!U14+'13062_SCIENCEBLDG'!U14+'13074_APPLETREE'!U14+'13084_REDHOUSE'!U14+'13082_MACHOUSE'!U14+'13071_RANDOMSOUTH'!U14+'13075_ADMISSIONS'!U14+'13063_HOWLAND'!U14+'14766_WHITTEMORE'!U14+'13070_HAPPYVALLEY'!U14+'13113_CABIN2'!U14+'13137_CABIN1'!U14+'13061_PRESSERWEST'!U14+'13085_POTTERY'!U14+'13491_MAINT'!U14+'13645_MARLNORTH'!U14</f>
        <v>0</v>
      </c>
    </row>
    <row r="16" spans="1:21" ht="15">
      <c r="A16" s="2" t="s">
        <v>17</v>
      </c>
      <c r="B16" s="73">
        <f>'14747_NEWMAINT'!B15+'13112_PERRINE'!B15+'13057_THEATER'!B15++'13059_AUD'!B15+'13068_HENDRICKS'!B15+'13081_COT4'!B15+'13080_COT3'!B15+'13058_DALRYMPLE'!B15+'13065_HALFWAY'!B15+'13060_LIBRARY'!B15+'13067_RANDOMNORTH'!B15+'13077_HAPPYVALLEY'!B15+'13069_CAMPUSCENTER'!B15+'13072_COT5'!B15+'13073_PRESSER'!B15+'13083_MUMFORD'!B15+'13078_COT1'!B15+'13079_COT2'!B15+'13064_SCHRADER'!B15+'13066_ALLTHEWAY'!B15+'13056_DININGHALL'!B15+'13062_SCIENCEBLDG'!B15+'13074_APPLETREE'!B15+'13084_REDHOUSE'!B15+'13082_MACHOUSE'!B15+'13071_RANDOMSOUTH'!B15+'13075_ADMISSIONS'!B15+'13063_HOWLAND'!B15+'14766_WHITTEMORE'!B15+'13070_HAPPYVALLEY'!B15+'13113_CABIN2'!B15+'13137_CABIN1'!B15+'13061_PRESSERWEST'!B15+'13085_POTTERY'!B15</f>
        <v>0</v>
      </c>
      <c r="C16" s="108">
        <f>'14747_NEWMAINT'!C15+'13112_PERRINE'!C15+'13057_THEATER'!C15++'13059_AUD'!C15+'13068_HENDRICKS'!C15+'13081_COT4'!C15+'13080_COT3'!C15+'13058_DALRYMPLE'!C15+'13065_HALFWAY'!C15+'13060_LIBRARY'!C15+'13067_RANDOMNORTH'!C15+'13077_HAPPYVALLEY'!C15+'13069_CAMPUSCENTER'!C15+'13072_COT5'!C15+'13073_PRESSER'!C15+'13083_MUMFORD'!C15+'13078_COT1'!C15+'13079_COT2'!C15+'13064_SCHRADER'!C15+'13066_ALLTHEWAY'!C15+'13056_DININGHALL'!C15+'13062_SCIENCEBLDG'!C15+'13074_APPLETREE'!C15+'13084_REDHOUSE'!C15+'13082_MACHOUSE'!C15+'13071_RANDOMSOUTH'!C15+'13075_ADMISSIONS'!C15+'13063_HOWLAND'!C15+'14766_WHITTEMORE'!C15+'13070_HAPPYVALLEY'!C15+'13113_CABIN2'!C15+'13137_CABIN1'!C15+'13061_PRESSERWEST'!C15+'13085_POTTERY'!C15</f>
        <v>0</v>
      </c>
      <c r="D16" s="73">
        <f>'14747_NEWMAINT'!D15+'13112_PERRINE'!D15+'13057_THEATER'!D15++'13059_AUD'!D15+'13068_HENDRICKS'!D15+'13081_COT4'!D15+'13080_COT3'!D15+'13058_DALRYMPLE'!D15+'13065_HALFWAY'!D15+'13060_LIBRARY'!D15+'13067_RANDOMNORTH'!D15+'13077_HAPPYVALLEY'!D15+'13069_CAMPUSCENTER'!D15+'13072_COT5'!D15+'13073_PRESSER'!D15+'13083_MUMFORD'!D15+'13078_COT1'!D15+'13079_COT2'!D15+'13064_SCHRADER'!D15+'13066_ALLTHEWAY'!D15+'13056_DININGHALL'!D15+'13062_SCIENCEBLDG'!D15+'13074_APPLETREE'!D15+'13084_REDHOUSE'!D15+'13082_MACHOUSE'!D15+'13071_RANDOMSOUTH'!D15+'13075_ADMISSIONS'!D15+'13063_HOWLAND'!D15+'14766_WHITTEMORE'!D15+'13070_HAPPYVALLEY'!D15+'13113_CABIN2'!D15+'13137_CABIN1'!D15+'13061_PRESSERWEST'!D15+'13085_POTTERY'!D15+'13491_MAINT'!D15+'13645_MARLNORTH'!D15</f>
        <v>0</v>
      </c>
      <c r="E16" s="107">
        <f>'14747_NEWMAINT'!E15+'13112_PERRINE'!E15+'13057_THEATER'!E15++'13059_AUD'!E15+'13068_HENDRICKS'!E15+'13081_COT4'!E15+'13080_COT3'!E15+'13058_DALRYMPLE'!E15+'13065_HALFWAY'!E15+'13060_LIBRARY'!E15+'13067_RANDOMNORTH'!E15+'13077_HAPPYVALLEY'!E15+'13069_CAMPUSCENTER'!E15+'13072_COT5'!E15+'13073_PRESSER'!E15+'13083_MUMFORD'!E15+'13078_COT1'!E15+'13079_COT2'!E15+'13064_SCHRADER'!E15+'13066_ALLTHEWAY'!E15+'13056_DININGHALL'!E15+'13062_SCIENCEBLDG'!E15+'13074_APPLETREE'!E15+'13084_REDHOUSE'!E15+'13082_MACHOUSE'!E15+'13071_RANDOMSOUTH'!E15+'13075_ADMISSIONS'!E15+'13063_HOWLAND'!E15+'14766_WHITTEMORE'!E15+'13070_HAPPYVALLEY'!E15+'13113_CABIN2'!E15+'13137_CABIN1'!E15+'13061_PRESSERWEST'!E15+'13085_POTTERY'!E15+'13491_MAINT'!E15+'13645_MARLNORTH'!E15</f>
        <v>0</v>
      </c>
      <c r="F16" s="73">
        <f>'14747_NEWMAINT'!F15+'13112_PERRINE'!F15+'13057_THEATER'!F15++'13059_AUD'!F15+'13068_HENDRICKS'!F15+'13081_COT4'!F15+'13080_COT3'!F15+'13058_DALRYMPLE'!F15+'13065_HALFWAY'!F15+'13060_LIBRARY'!F15+'13067_RANDOMNORTH'!F15+'13077_HAPPYVALLEY'!F15+'13069_CAMPUSCENTER'!F15+'13072_COT5'!F15+'13073_PRESSER'!F15+'13083_MUMFORD'!F15+'13078_COT1'!F15+'13079_COT2'!F15+'13064_SCHRADER'!F15+'13066_ALLTHEWAY'!F15+'13056_DININGHALL'!F15+'13062_SCIENCEBLDG'!F15+'13074_APPLETREE'!F15+'13084_REDHOUSE'!F15+'13082_MACHOUSE'!F15+'13071_RANDOMSOUTH'!F15+'13075_ADMISSIONS'!F15+'13063_HOWLAND'!F15+'14766_WHITTEMORE'!F15+'13070_HAPPYVALLEY'!F15+'13113_CABIN2'!F15+'13137_CABIN1'!F15+'13061_PRESSERWEST'!F15+'13085_POTTERY'!F15+'13491_MAINT'!F15+'13645_MARLNORTH'!F15</f>
        <v>842.71</v>
      </c>
      <c r="G16" s="107">
        <f>'14747_NEWMAINT'!G15+'13112_PERRINE'!G15+'13057_THEATER'!G15++'13059_AUD'!G15+'13068_HENDRICKS'!G15+'13081_COT4'!G15+'13080_COT3'!G15+'13058_DALRYMPLE'!G15+'13065_HALFWAY'!G15+'13060_LIBRARY'!G15+'13067_RANDOMNORTH'!G15+'13077_HAPPYVALLEY'!G15+'13069_CAMPUSCENTER'!G15+'13072_COT5'!G15+'13073_PRESSER'!G15+'13083_MUMFORD'!G15+'13078_COT1'!G15+'13079_COT2'!G15+'13064_SCHRADER'!G15+'13066_ALLTHEWAY'!G15+'13056_DININGHALL'!G15+'13062_SCIENCEBLDG'!G15+'13074_APPLETREE'!G15+'13084_REDHOUSE'!G15+'13082_MACHOUSE'!G15+'13071_RANDOMSOUTH'!G15+'13075_ADMISSIONS'!G15+'13063_HOWLAND'!G15+'14766_WHITTEMORE'!G15+'13070_HAPPYVALLEY'!G15+'13113_CABIN2'!G15+'13137_CABIN1'!G15+'13061_PRESSERWEST'!G15+'13085_POTTERY'!G15+'13491_MAINT'!G15+'13645_MARLNORTH'!G15</f>
        <v>847.8</v>
      </c>
      <c r="H16" s="130">
        <f>'14747_NEWMAINT'!H15+'13112_PERRINE'!H15+'13057_THEATER'!H15++'13059_AUD'!H15+'13068_HENDRICKS'!H15+'13081_COT4'!H15+'13080_COT3'!H15+'13058_DALRYMPLE'!H15+'13065_HALFWAY'!H15+'13060_LIBRARY'!H15+'13067_RANDOMNORTH'!H15+'13077_HAPPYVALLEY'!H15+'13069_CAMPUSCENTER'!H15+'13072_COT5'!H15+'13073_PRESSER'!H15+'13083_MUMFORD'!H15+'13078_COT1'!H15+'13079_COT2'!H15+'13064_SCHRADER'!H15+'13066_ALLTHEWAY'!H15+'13056_DININGHALL'!H15+'13062_SCIENCEBLDG'!H15+'13074_APPLETREE'!H15+'13084_REDHOUSE'!H15+'13082_MACHOUSE'!H15+'13071_RANDOMSOUTH'!H15+'13075_ADMISSIONS'!H15+'13063_HOWLAND'!H15+'14766_WHITTEMORE'!H15+'13070_HAPPYVALLEY'!H15+'13113_CABIN2'!H15+'13137_CABIN1'!H15+'13061_PRESSERWEST'!H15+'13085_POTTERY'!H15+'13491_MAINT'!H15+'13645_MARLNORTH'!H15</f>
        <v>0</v>
      </c>
      <c r="I16" s="107">
        <f>'14747_NEWMAINT'!I15+'13112_PERRINE'!I15+'13057_THEATER'!I15++'13059_AUD'!I15+'13068_HENDRICKS'!I15+'13081_COT4'!I15+'13080_COT3'!I15+'13058_DALRYMPLE'!I15+'13065_HALFWAY'!I15+'13060_LIBRARY'!I15+'13067_RANDOMNORTH'!I15+'13077_HAPPYVALLEY'!I15+'13069_CAMPUSCENTER'!I15+'13072_COT5'!I15+'13073_PRESSER'!I15+'13083_MUMFORD'!I15+'13078_COT1'!I15+'13079_COT2'!I15+'13064_SCHRADER'!I15+'13066_ALLTHEWAY'!I15+'13056_DININGHALL'!I15+'13062_SCIENCEBLDG'!I15+'13074_APPLETREE'!I15+'13084_REDHOUSE'!I15+'13082_MACHOUSE'!I15+'13071_RANDOMSOUTH'!I15+'13075_ADMISSIONS'!I15+'13063_HOWLAND'!I15+'14766_WHITTEMORE'!I15+'13070_HAPPYVALLEY'!I15+'13113_CABIN2'!I15+'13137_CABIN1'!I15+'13061_PRESSERWEST'!I15+'13085_POTTERY'!I15+'13491_MAINT'!I15+'13645_MARLNORTH'!I15</f>
        <v>0</v>
      </c>
      <c r="J16" s="130">
        <f>'14747_NEWMAINT'!J15+'13112_PERRINE'!J15+'13057_THEATER'!J15+'13059_AUD'!J15+'13068_HENDRICKS'!J15+'13081_COT4'!J15+'13080_COT3'!J15+'13058_DALRYMPLE'!J15+'13065_HALFWAY'!J15+'13060_LIBRARY'!J15+'13067_RANDOMNORTH'!J15+'13077_HAPPYVALLEY'!J15+'13069_CAMPUSCENTER'!J15+'13072_COT5'!J15+'13073_PRESSER'!J15+'13083_MUMFORD'!J15+'13078_COT1'!J15+'13079_COT2'!J15+'13064_SCHRADER'!J15+'13066_ALLTHEWAY'!J15+'13056_DININGHALL'!J15+'13062_SCIENCEBLDG'!J15+'13074_APPLETREE'!J15+'13084_REDHOUSE'!J15+'13082_MACHOUSE'!J15+'13071_RANDOMSOUTH'!J15+'13075_ADMISSIONS'!J15+'13063_HOWLAND'!J15+'14766_WHITTEMORE'!J15+'13070_HAPPYVALLEY'!J15+'13113_CABIN2'!J15+'13137_CABIN1'!J15+'13061_PRESSERWEST'!J15+'13085_POTTERY'!J15+'13491_MAINT'!J15+'13645_MARLNORTH'!J15+'17736_OUTOFWAY'!B15</f>
        <v>0</v>
      </c>
      <c r="K16" s="107">
        <f>'14747_NEWMAINT'!K15+'13112_PERRINE'!K15+'13057_THEATER'!K15+'13059_AUD'!K15+'13068_HENDRICKS'!K15+'13081_COT4'!K15+'13080_COT3'!K15+'13058_DALRYMPLE'!K15+'13065_HALFWAY'!K15+'13060_LIBRARY'!K15+'13067_RANDOMNORTH'!K15+'13077_HAPPYVALLEY'!K15+'13069_CAMPUSCENTER'!K15+'13072_COT5'!K15+'13073_PRESSER'!K15+'13083_MUMFORD'!K15+'13078_COT1'!K15+'13079_COT2'!K15+'13064_SCHRADER'!K15+'13066_ALLTHEWAY'!K15+'13056_DININGHALL'!K15+'13062_SCIENCEBLDG'!K15+'13074_APPLETREE'!K15+'13084_REDHOUSE'!K15+'13082_MACHOUSE'!K15+'13071_RANDOMSOUTH'!K15+'13075_ADMISSIONS'!K15+'13063_HOWLAND'!K15+'14766_WHITTEMORE'!K15+'13070_HAPPYVALLEY'!K15+'13113_CABIN2'!K15+'13137_CABIN1'!K15+'13061_PRESSERWEST'!K15+'13085_POTTERY'!K15+'13491_MAINT'!K15+'13645_MARLNORTH'!K15+'17736_OUTOFWAY'!C15</f>
        <v>0</v>
      </c>
      <c r="L16" s="132">
        <f>'14747_NEWMAINT'!L15+'13112_PERRINE'!L15+'13057_THEATER'!L15++'13059_AUD'!L15+'13068_HENDRICKS'!L15+'13081_COT4'!L15+'13080_COT3'!L15+'13058_DALRYMPLE'!L15+'13065_HALFWAY'!L15+'13060_LIBRARY'!L15+'13067_RANDOMNORTH'!L15+'13077_HAPPYVALLEY'!L15+'13069_CAMPUSCENTER'!L15+'13072_COT5'!L15+'13073_PRESSER'!L15+'13083_MUMFORD'!L15+'13078_COT1'!L15+'13079_COT2'!L15+'13064_SCHRADER'!L15+'13066_ALLTHEWAY'!L15+'13056_DININGHALL'!L15+'13062_SCIENCEBLDG'!L15+'13074_APPLETREE'!L15+'13084_REDHOUSE'!L15+'13082_MACHOUSE'!L15+'13071_RANDOMSOUTH'!L15+'13075_ADMISSIONS'!L15+'13063_HOWLAND'!L15+'14766_WHITTEMORE'!L15+'13070_HAPPYVALLEY'!L15+'13113_CABIN2'!L15+'13137_CABIN1'!L15+'13061_PRESSERWEST'!L15+'13085_POTTERY'!L15+'13491_MAINT'!L15+'13645_MARLNORTH'!L15+'17736_OUTOFWAY'!D15</f>
        <v>3442.2400000000002</v>
      </c>
      <c r="M16" s="107">
        <f>'14747_NEWMAINT'!M15+'13112_PERRINE'!M15+'13057_THEATER'!M15++'13059_AUD'!M15+'13068_HENDRICKS'!M15+'13081_COT4'!M15+'13080_COT3'!M15+'13058_DALRYMPLE'!M15+'13065_HALFWAY'!M15+'13060_LIBRARY'!M15+'13067_RANDOMNORTH'!M15+'13077_HAPPYVALLEY'!M15+'13069_CAMPUSCENTER'!M15+'13072_COT5'!M15+'13073_PRESSER'!M15+'13083_MUMFORD'!M15+'13078_COT1'!M15+'13079_COT2'!M15+'13064_SCHRADER'!M15+'13066_ALLTHEWAY'!M15+'13056_DININGHALL'!M15+'13062_SCIENCEBLDG'!M15+'13074_APPLETREE'!M15+'13084_REDHOUSE'!M15+'13082_MACHOUSE'!M15+'13071_RANDOMSOUTH'!M15+'13075_ADMISSIONS'!M15+'13063_HOWLAND'!M15+'14766_WHITTEMORE'!M15+'13070_HAPPYVALLEY'!M15+'13113_CABIN2'!M15+'13137_CABIN1'!M15+'13061_PRESSERWEST'!M15+'13085_POTTERY'!M15+'13491_MAINT'!M15+'13645_MARLNORTH'!M15</f>
        <v>3094.7000000000003</v>
      </c>
      <c r="N16" s="132">
        <f>'14747_NEWMAINT'!N15+'13112_PERRINE'!N15+'13057_THEATER'!N15++'13059_AUD'!N15+'13068_HENDRICKS'!N15+'13081_COT4'!N15+'13080_COT3'!N15+'13058_DALRYMPLE'!N15+'13065_HALFWAY'!N15+'13060_LIBRARY'!N15+'13067_RANDOMNORTH'!N15+'13077_HAPPYVALLEY'!N15+'13069_CAMPUSCENTER'!N15+'13072_COT5'!N15+'13073_PRESSER'!N15+'13083_MUMFORD'!N15+'13078_COT1'!N15+'13079_COT2'!N15+'13064_SCHRADER'!N15+'13066_ALLTHEWAY'!N15+'13056_DININGHALL'!N15+'13062_SCIENCEBLDG'!N15+'13074_APPLETREE'!N15+'13084_REDHOUSE'!N15+'13082_MACHOUSE'!N15+'13071_RANDOMSOUTH'!N15+'13075_ADMISSIONS'!N15+'13063_HOWLAND'!N15+'14766_WHITTEMORE'!N15+'13070_HAPPYVALLEY'!N15+'13113_CABIN2'!N15+'13137_CABIN1'!N15+'13061_PRESSERWEST'!N15+'13085_POTTERY'!N15+'13491_MAINT'!N15+'13645_MARLNORTH'!N15+'17736_OUTOFWAY'!F15</f>
        <v>0</v>
      </c>
      <c r="O16" s="107">
        <f>'14747_NEWMAINT'!O15+'13112_PERRINE'!O15+'13057_THEATER'!O15++'13059_AUD'!O15+'13068_HENDRICKS'!O15+'13081_COT4'!O15+'13080_COT3'!O15+'13058_DALRYMPLE'!O15+'13065_HALFWAY'!O15+'13060_LIBRARY'!O15+'13067_RANDOMNORTH'!O15+'13077_HAPPYVALLEY'!O15+'13069_CAMPUSCENTER'!O15+'13072_COT5'!O15+'13073_PRESSER'!O15+'13083_MUMFORD'!O15+'13078_COT1'!O15+'13079_COT2'!O15+'13064_SCHRADER'!O15+'13066_ALLTHEWAY'!O15+'13056_DININGHALL'!O15+'13062_SCIENCEBLDG'!O15+'13074_APPLETREE'!O15+'13084_REDHOUSE'!O15+'13082_MACHOUSE'!O15+'13071_RANDOMSOUTH'!O15+'13075_ADMISSIONS'!O15+'13063_HOWLAND'!O15+'14766_WHITTEMORE'!O15+'13070_HAPPYVALLEY'!O15+'13113_CABIN2'!O15+'13137_CABIN1'!O15+'13061_PRESSERWEST'!O15+'13085_POTTERY'!O15+'13491_MAINT'!O15+'13645_MARLNORTH'!O15</f>
        <v>0</v>
      </c>
      <c r="P16" s="132">
        <f>'13056_DININGHALL'!P15+'13057_THEATER'!P15+'13058_DALRYMPLE'!P15+'13059_AUD'!P15+'13060_LIBRARY'!P15+'13061_PRESSERWEST'!P15+'13062_SCIENCEBLDG'!P15+'13063_HOWLAND'!P15+'13064_SCHRADER'!P15+'13065_HALFWAY'!P15+'13066_ALLTHEWAY'!P15+'13067_RANDOMNORTH'!P15+'13068_HENDRICKS'!P15+'13069_CAMPUSCENTER'!P15+'13070_HAPPYVALLEY'!P15+'13071_RANDOMSOUTH'!P15+'13072_COT5'!P15+'13074_APPLETREE'!P15+'13075_ADMISSIONS'!P15+'13077_HAPPYVALLEY'!P15+'13078_COT1'!P15+'13079_COT2'!P15+'13080_COT3'!P15+'13081_COT4'!P15+'13082_MACHOUSE'!P15+'13083_MUMFORD'!P15+'13084_REDHOUSE'!P15+'13085_POTTERY'!P15+'13112_PERRINE'!P15+'13113_CABIN2'!P15+'13137_CABIN1'!P15+'13491_MAINT'!P15+'13645_MARLNORTH'!P15+'14747_NEWMAINT'!P15+'14766_WHITTEMORE'!P15+'17736_OUTOFWAY'!H15+'21054_COT6'!B15</f>
        <v>1738.8300000000002</v>
      </c>
      <c r="Q16" s="174">
        <f>'13056_DININGHALL'!Q15+'13057_THEATER'!Q15+'13058_DALRYMPLE'!Q15+'13059_AUD'!Q15+'13060_LIBRARY'!Q15+'13061_PRESSERWEST'!Q15+'13062_SCIENCEBLDG'!Q15+'13063_HOWLAND'!Q15+'13064_SCHRADER'!Q15+'13065_HALFWAY'!Q15+'13066_ALLTHEWAY'!Q15+'13067_RANDOMNORTH'!Q15+'13068_HENDRICKS'!Q15+'13069_CAMPUSCENTER'!Q15+'13070_HAPPYVALLEY'!Q15+'13071_RANDOMSOUTH'!Q15+'13072_COT5'!Q15+'13074_APPLETREE'!Q15+'13075_ADMISSIONS'!Q15+'13077_HAPPYVALLEY'!Q15+'13078_COT1'!Q15+'13079_COT2'!Q15+'13080_COT3'!Q15+'13081_COT4'!Q15+'13082_MACHOUSE'!Q15+'13083_MUMFORD'!Q15+'13084_REDHOUSE'!Q15+'13085_POTTERY'!Q15+'13112_PERRINE'!Q15+'13113_CABIN2'!Q15+'13137_CABIN1'!Q15+'13491_MAINT'!Q15+'13645_MARLNORTH'!Q15+'14747_NEWMAINT'!Q15+'14766_WHITTEMORE'!Q15+'17736_OUTOFWAY'!I15+'21054_COT6'!C15</f>
        <v>829.2</v>
      </c>
      <c r="R16" s="132">
        <f>'14747_NEWMAINT'!R15+'13112_PERRINE'!R15+'13057_THEATER'!R15++'13059_AUD'!R15+'13068_HENDRICKS'!R15+'13081_COT4'!R15+'13080_COT3'!R15+'13058_DALRYMPLE'!R15+'13065_HALFWAY'!R15+'13060_LIBRARY'!R15+'13067_RANDOMNORTH'!R15+'13077_HAPPYVALLEY'!R15+'13069_CAMPUSCENTER'!R15+'13072_COT5'!R15+'13073_PRESSER'!R15+'13083_MUMFORD'!R15+'13078_COT1'!R15+'13079_COT2'!R15+'13064_SCHRADER'!R15+'13066_ALLTHEWAY'!R15+'13056_DININGHALL'!R15+'13062_SCIENCEBLDG'!R15+'13074_APPLETREE'!R15+'13084_REDHOUSE'!R15+'13082_MACHOUSE'!R15+'13071_RANDOMSOUTH'!R15+'13075_ADMISSIONS'!R15+'13063_HOWLAND'!R15+'14766_WHITTEMORE'!R15+'13070_HAPPYVALLEY'!R15+'13113_CABIN2'!R15+'13137_CABIN1'!R15+'13061_PRESSERWEST'!R15+'13085_POTTERY'!R15+'13491_MAINT'!R15+'13645_MARLNORTH'!R15+'17736_OUTOFWAY'!J15</f>
        <v>0</v>
      </c>
      <c r="S16" s="107">
        <f>'14747_NEWMAINT'!S15+'13112_PERRINE'!S15+'13057_THEATER'!S15++'13059_AUD'!S15+'13068_HENDRICKS'!S15+'13081_COT4'!S15+'13080_COT3'!S15+'13058_DALRYMPLE'!S15+'13065_HALFWAY'!S15+'13060_LIBRARY'!S15+'13067_RANDOMNORTH'!S15+'13077_HAPPYVALLEY'!S15+'13069_CAMPUSCENTER'!S15+'13072_COT5'!S15+'13073_PRESSER'!S15+'13083_MUMFORD'!S15+'13078_COT1'!S15+'13079_COT2'!S15+'13064_SCHRADER'!S15+'13066_ALLTHEWAY'!S15+'13056_DININGHALL'!S15+'13062_SCIENCEBLDG'!S15+'13074_APPLETREE'!S15+'13084_REDHOUSE'!S15+'13082_MACHOUSE'!S15+'13071_RANDOMSOUTH'!S15+'13075_ADMISSIONS'!S15+'13063_HOWLAND'!S15+'14766_WHITTEMORE'!S15+'13070_HAPPYVALLEY'!S15+'13113_CABIN2'!S15+'13137_CABIN1'!S15+'13061_PRESSERWEST'!S15+'13085_POTTERY'!S15+'13491_MAINT'!S15+'13645_MARLNORTH'!S15</f>
        <v>0</v>
      </c>
      <c r="T16" s="132">
        <f>'14747_NEWMAINT'!T15+'13112_PERRINE'!T15+'13057_THEATER'!T15++'13059_AUD'!T15+'13068_HENDRICKS'!T15+'13081_COT4'!T15+'13080_COT3'!T15+'13058_DALRYMPLE'!T15+'13065_HALFWAY'!T15+'13060_LIBRARY'!T15+'13067_RANDOMNORTH'!T15+'13077_HAPPYVALLEY'!T15+'13069_CAMPUSCENTER'!T15+'13072_COT5'!T15+'13073_PRESSER'!T15+'13083_MUMFORD'!T15+'13078_COT1'!T15+'13079_COT2'!T15+'13064_SCHRADER'!T15+'13066_ALLTHEWAY'!T15+'13056_DININGHALL'!T15+'13062_SCIENCEBLDG'!T15+'13074_APPLETREE'!T15+'13084_REDHOUSE'!T15+'13082_MACHOUSE'!T15+'13071_RANDOMSOUTH'!T15+'13075_ADMISSIONS'!T15+'13063_HOWLAND'!T15+'14766_WHITTEMORE'!T15+'13070_HAPPYVALLEY'!T15+'13113_CABIN2'!T15+'13137_CABIN1'!T15+'13061_PRESSERWEST'!T15+'13085_POTTERY'!T15+'13491_MAINT'!T15+'13645_MARLNORTH'!T15+'17736_OUTOFWAY'!L15</f>
        <v>0</v>
      </c>
      <c r="U16" s="107">
        <f>'14747_NEWMAINT'!U15+'13112_PERRINE'!U15+'13057_THEATER'!U15++'13059_AUD'!U15+'13068_HENDRICKS'!U15+'13081_COT4'!U15+'13080_COT3'!U15+'13058_DALRYMPLE'!U15+'13065_HALFWAY'!U15+'13060_LIBRARY'!U15+'13067_RANDOMNORTH'!U15+'13077_HAPPYVALLEY'!U15+'13069_CAMPUSCENTER'!U15+'13072_COT5'!U15+'13073_PRESSER'!U15+'13083_MUMFORD'!U15+'13078_COT1'!U15+'13079_COT2'!U15+'13064_SCHRADER'!U15+'13066_ALLTHEWAY'!U15+'13056_DININGHALL'!U15+'13062_SCIENCEBLDG'!U15+'13074_APPLETREE'!U15+'13084_REDHOUSE'!U15+'13082_MACHOUSE'!U15+'13071_RANDOMSOUTH'!U15+'13075_ADMISSIONS'!U15+'13063_HOWLAND'!U15+'14766_WHITTEMORE'!U15+'13070_HAPPYVALLEY'!U15+'13113_CABIN2'!U15+'13137_CABIN1'!U15+'13061_PRESSERWEST'!U15+'13085_POTTERY'!U15+'13491_MAINT'!U15+'13645_MARLNORTH'!U15</f>
        <v>0</v>
      </c>
    </row>
    <row r="17" spans="1:21" ht="15">
      <c r="A17" s="2" t="s">
        <v>18</v>
      </c>
      <c r="B17" s="73">
        <f>'14747_NEWMAINT'!B16+'13112_PERRINE'!B16+'13057_THEATER'!B16++'13059_AUD'!B16+'13068_HENDRICKS'!B16+'13081_COT4'!B16+'13080_COT3'!B16+'13058_DALRYMPLE'!B16+'13065_HALFWAY'!B16+'13060_LIBRARY'!B16+'13067_RANDOMNORTH'!B16+'13077_HAPPYVALLEY'!B16+'13069_CAMPUSCENTER'!B16+'13072_COT5'!B16+'13073_PRESSER'!B16+'13083_MUMFORD'!B16+'13078_COT1'!B16+'13079_COT2'!B16+'13064_SCHRADER'!B16+'13066_ALLTHEWAY'!B16+'13056_DININGHALL'!B16+'13062_SCIENCEBLDG'!B16+'13074_APPLETREE'!B16+'13084_REDHOUSE'!B16+'13082_MACHOUSE'!B16+'13071_RANDOMSOUTH'!B16+'13075_ADMISSIONS'!B16+'13063_HOWLAND'!B16+'14766_WHITTEMORE'!B16+'13070_HAPPYVALLEY'!B16+'13113_CABIN2'!B16+'13137_CABIN1'!B16+'13061_PRESSERWEST'!B16+'13085_POTTERY'!B16</f>
        <v>1632.0500000000002</v>
      </c>
      <c r="C17" s="108">
        <f>'14747_NEWMAINT'!C16+'13112_PERRINE'!C16+'13057_THEATER'!C16++'13059_AUD'!C16+'13068_HENDRICKS'!C16+'13081_COT4'!C16+'13080_COT3'!C16+'13058_DALRYMPLE'!C16+'13065_HALFWAY'!C16+'13060_LIBRARY'!C16+'13067_RANDOMNORTH'!C16+'13077_HAPPYVALLEY'!C16+'13069_CAMPUSCENTER'!C16+'13072_COT5'!C16+'13073_PRESSER'!C16+'13083_MUMFORD'!C16+'13078_COT1'!C16+'13079_COT2'!C16+'13064_SCHRADER'!C16+'13066_ALLTHEWAY'!C16+'13056_DININGHALL'!C16+'13062_SCIENCEBLDG'!C16+'13074_APPLETREE'!C16+'13084_REDHOUSE'!C16+'13082_MACHOUSE'!C16+'13071_RANDOMSOUTH'!C16+'13075_ADMISSIONS'!C16+'13063_HOWLAND'!C16+'14766_WHITTEMORE'!C16+'13070_HAPPYVALLEY'!C16+'13113_CABIN2'!C16+'13137_CABIN1'!C16+'13061_PRESSERWEST'!C16+'13085_POTTERY'!C16</f>
        <v>3314.8</v>
      </c>
      <c r="D17" s="73">
        <f>'14747_NEWMAINT'!D16+'13112_PERRINE'!D16+'13057_THEATER'!D16++'13059_AUD'!D16+'13068_HENDRICKS'!D16+'13081_COT4'!D16+'13080_COT3'!D16+'13058_DALRYMPLE'!D16+'13065_HALFWAY'!D16+'13060_LIBRARY'!D16+'13067_RANDOMNORTH'!D16+'13077_HAPPYVALLEY'!D16+'13069_CAMPUSCENTER'!D16+'13072_COT5'!D16+'13073_PRESSER'!D16+'13083_MUMFORD'!D16+'13078_COT1'!D16+'13079_COT2'!D16+'13064_SCHRADER'!D16+'13066_ALLTHEWAY'!D16+'13056_DININGHALL'!D16+'13062_SCIENCEBLDG'!D16+'13074_APPLETREE'!D16+'13084_REDHOUSE'!D16+'13082_MACHOUSE'!D16+'13071_RANDOMSOUTH'!D16+'13075_ADMISSIONS'!D16+'13063_HOWLAND'!D16+'14766_WHITTEMORE'!D16+'13070_HAPPYVALLEY'!D16+'13113_CABIN2'!D16+'13137_CABIN1'!D16+'13061_PRESSERWEST'!D16+'13085_POTTERY'!D16+'13491_MAINT'!D16+'13645_MARLNORTH'!D16</f>
        <v>3407.7</v>
      </c>
      <c r="E17" s="107">
        <f>'14747_NEWMAINT'!E16+'13112_PERRINE'!E16+'13057_THEATER'!E16++'13059_AUD'!E16+'13068_HENDRICKS'!E16+'13081_COT4'!E16+'13080_COT3'!E16+'13058_DALRYMPLE'!E16+'13065_HALFWAY'!E16+'13060_LIBRARY'!E16+'13067_RANDOMNORTH'!E16+'13077_HAPPYVALLEY'!E16+'13069_CAMPUSCENTER'!E16+'13072_COT5'!E16+'13073_PRESSER'!E16+'13083_MUMFORD'!E16+'13078_COT1'!E16+'13079_COT2'!E16+'13064_SCHRADER'!E16+'13066_ALLTHEWAY'!E16+'13056_DININGHALL'!E16+'13062_SCIENCEBLDG'!E16+'13074_APPLETREE'!E16+'13084_REDHOUSE'!E16+'13082_MACHOUSE'!E16+'13071_RANDOMSOUTH'!E16+'13075_ADMISSIONS'!E16+'13063_HOWLAND'!E16+'14766_WHITTEMORE'!E16+'13070_HAPPYVALLEY'!E16+'13113_CABIN2'!E16+'13137_CABIN1'!E16+'13061_PRESSERWEST'!E16+'13085_POTTERY'!E16+'13491_MAINT'!E16+'13645_MARLNORTH'!E16</f>
        <v>4345</v>
      </c>
      <c r="F17" s="73">
        <f>'14747_NEWMAINT'!F16+'13112_PERRINE'!F16+'13057_THEATER'!F16++'13059_AUD'!F16+'13068_HENDRICKS'!F16+'13081_COT4'!F16+'13080_COT3'!F16+'13058_DALRYMPLE'!F16+'13065_HALFWAY'!F16+'13060_LIBRARY'!F16+'13067_RANDOMNORTH'!F16+'13077_HAPPYVALLEY'!F16+'13069_CAMPUSCENTER'!F16+'13072_COT5'!F16+'13073_PRESSER'!F16+'13083_MUMFORD'!F16+'13078_COT1'!F16+'13079_COT2'!F16+'13064_SCHRADER'!F16+'13066_ALLTHEWAY'!F16+'13056_DININGHALL'!F16+'13062_SCIENCEBLDG'!F16+'13074_APPLETREE'!F16+'13084_REDHOUSE'!F16+'13082_MACHOUSE'!F16+'13071_RANDOMSOUTH'!F16+'13075_ADMISSIONS'!F16+'13063_HOWLAND'!F16+'14766_WHITTEMORE'!F16+'13070_HAPPYVALLEY'!F16+'13113_CABIN2'!F16+'13137_CABIN1'!F16+'13061_PRESSERWEST'!F16+'13085_POTTERY'!F16+'13491_MAINT'!F16+'13645_MARLNORTH'!F16</f>
        <v>5546.8</v>
      </c>
      <c r="G17" s="107">
        <f>'14747_NEWMAINT'!G16+'13112_PERRINE'!G16+'13057_THEATER'!G16++'13059_AUD'!G16+'13068_HENDRICKS'!G16+'13081_COT4'!G16+'13080_COT3'!G16+'13058_DALRYMPLE'!G16+'13065_HALFWAY'!G16+'13060_LIBRARY'!G16+'13067_RANDOMNORTH'!G16+'13077_HAPPYVALLEY'!G16+'13069_CAMPUSCENTER'!G16+'13072_COT5'!G16+'13073_PRESSER'!G16+'13083_MUMFORD'!G16+'13078_COT1'!G16+'13079_COT2'!G16+'13064_SCHRADER'!G16+'13066_ALLTHEWAY'!G16+'13056_DININGHALL'!G16+'13062_SCIENCEBLDG'!G16+'13074_APPLETREE'!G16+'13084_REDHOUSE'!G16+'13082_MACHOUSE'!G16+'13071_RANDOMSOUTH'!G16+'13075_ADMISSIONS'!G16+'13063_HOWLAND'!G16+'14766_WHITTEMORE'!G16+'13070_HAPPYVALLEY'!G16+'13113_CABIN2'!G16+'13137_CABIN1'!G16+'13061_PRESSERWEST'!G16+'13085_POTTERY'!G16+'13491_MAINT'!G16+'13645_MARLNORTH'!G16</f>
        <v>5580.6</v>
      </c>
      <c r="H17" s="130">
        <f>'14747_NEWMAINT'!H16+'13112_PERRINE'!H16+'13057_THEATER'!H16++'13059_AUD'!H16+'13068_HENDRICKS'!H16+'13081_COT4'!H16+'13080_COT3'!H16+'13058_DALRYMPLE'!H16+'13065_HALFWAY'!H16+'13060_LIBRARY'!H16+'13067_RANDOMNORTH'!H16+'13077_HAPPYVALLEY'!H16+'13069_CAMPUSCENTER'!H16+'13072_COT5'!H16+'13073_PRESSER'!H16+'13083_MUMFORD'!H16+'13078_COT1'!H16+'13079_COT2'!H16+'13064_SCHRADER'!H16+'13066_ALLTHEWAY'!H16+'13056_DININGHALL'!H16+'13062_SCIENCEBLDG'!H16+'13074_APPLETREE'!H16+'13084_REDHOUSE'!H16+'13082_MACHOUSE'!H16+'13071_RANDOMSOUTH'!H16+'13075_ADMISSIONS'!H16+'13063_HOWLAND'!H16+'14766_WHITTEMORE'!H16+'13070_HAPPYVALLEY'!H16+'13113_CABIN2'!H16+'13137_CABIN1'!H16+'13061_PRESSERWEST'!H16+'13085_POTTERY'!H16+'13491_MAINT'!H16+'13645_MARLNORTH'!H16</f>
        <v>6409.91</v>
      </c>
      <c r="I17" s="107">
        <f>'14747_NEWMAINT'!I16+'13112_PERRINE'!I16+'13057_THEATER'!I16++'13059_AUD'!I16+'13068_HENDRICKS'!I16+'13081_COT4'!I16+'13080_COT3'!I16+'13058_DALRYMPLE'!I16+'13065_HALFWAY'!I16+'13060_LIBRARY'!I16+'13067_RANDOMNORTH'!I16+'13077_HAPPYVALLEY'!I16+'13069_CAMPUSCENTER'!I16+'13072_COT5'!I16+'13073_PRESSER'!I16+'13083_MUMFORD'!I16+'13078_COT1'!I16+'13079_COT2'!I16+'13064_SCHRADER'!I16+'13066_ALLTHEWAY'!I16+'13056_DININGHALL'!I16+'13062_SCIENCEBLDG'!I16+'13074_APPLETREE'!I16+'13084_REDHOUSE'!I16+'13082_MACHOUSE'!I16+'13071_RANDOMSOUTH'!I16+'13075_ADMISSIONS'!I16+'13063_HOWLAND'!I16+'14766_WHITTEMORE'!I16+'13070_HAPPYVALLEY'!I16+'13113_CABIN2'!I16+'13137_CABIN1'!I16+'13061_PRESSERWEST'!I16+'13085_POTTERY'!I16+'13491_MAINT'!I16+'13645_MARLNORTH'!I16</f>
        <v>6169.300000000001</v>
      </c>
      <c r="J17" s="130">
        <f>'14747_NEWMAINT'!J16+'13112_PERRINE'!J16+'13057_THEATER'!J16+'13059_AUD'!J16+'13068_HENDRICKS'!J16+'13081_COT4'!J16+'13080_COT3'!J16+'13058_DALRYMPLE'!J16+'13065_HALFWAY'!J16+'13060_LIBRARY'!J16+'13067_RANDOMNORTH'!J16+'13077_HAPPYVALLEY'!J16+'13069_CAMPUSCENTER'!J16+'13072_COT5'!J16+'13073_PRESSER'!J16+'13083_MUMFORD'!J16+'13078_COT1'!J16+'13079_COT2'!J16+'13064_SCHRADER'!J16+'13066_ALLTHEWAY'!J16+'13056_DININGHALL'!J16+'13062_SCIENCEBLDG'!J16+'13074_APPLETREE'!J16+'13084_REDHOUSE'!J16+'13082_MACHOUSE'!J16+'13071_RANDOMSOUTH'!J16+'13075_ADMISSIONS'!J16+'13063_HOWLAND'!J16+'14766_WHITTEMORE'!J16+'13070_HAPPYVALLEY'!J16+'13113_CABIN2'!J16+'13137_CABIN1'!J16+'13061_PRESSERWEST'!J16+'13085_POTTERY'!J16+'13491_MAINT'!J16+'13645_MARLNORTH'!J16+'17736_OUTOFWAY'!B16</f>
        <v>7553.730000000002</v>
      </c>
      <c r="K17" s="107">
        <f>'14747_NEWMAINT'!K16+'13112_PERRINE'!K16+'13057_THEATER'!K16+'13059_AUD'!K16+'13068_HENDRICKS'!K16+'13081_COT4'!K16+'13080_COT3'!K16+'13058_DALRYMPLE'!K16+'13065_HALFWAY'!K16+'13060_LIBRARY'!K16+'13067_RANDOMNORTH'!K16+'13077_HAPPYVALLEY'!K16+'13069_CAMPUSCENTER'!K16+'13072_COT5'!K16+'13073_PRESSER'!K16+'13083_MUMFORD'!K16+'13078_COT1'!K16+'13079_COT2'!K16+'13064_SCHRADER'!K16+'13066_ALLTHEWAY'!K16+'13056_DININGHALL'!K16+'13062_SCIENCEBLDG'!K16+'13074_APPLETREE'!K16+'13084_REDHOUSE'!K16+'13082_MACHOUSE'!K16+'13071_RANDOMSOUTH'!K16+'13075_ADMISSIONS'!K16+'13063_HOWLAND'!K16+'14766_WHITTEMORE'!K16+'13070_HAPPYVALLEY'!K16+'13113_CABIN2'!K16+'13137_CABIN1'!K16+'13061_PRESSERWEST'!K16+'13085_POTTERY'!K16+'13491_MAINT'!K16+'13645_MARLNORTH'!K16+'17736_OUTOFWAY'!C16</f>
        <v>7914.629999999998</v>
      </c>
      <c r="L17" s="132">
        <f>'14747_NEWMAINT'!L16+'13112_PERRINE'!L16+'13057_THEATER'!L16++'13059_AUD'!L16+'13068_HENDRICKS'!L16+'13081_COT4'!L16+'13080_COT3'!L16+'13058_DALRYMPLE'!L16+'13065_HALFWAY'!L16+'13060_LIBRARY'!L16+'13067_RANDOMNORTH'!L16+'13077_HAPPYVALLEY'!L16+'13069_CAMPUSCENTER'!L16+'13072_COT5'!L16+'13073_PRESSER'!L16+'13083_MUMFORD'!L16+'13078_COT1'!L16+'13079_COT2'!L16+'13064_SCHRADER'!L16+'13066_ALLTHEWAY'!L16+'13056_DININGHALL'!L16+'13062_SCIENCEBLDG'!L16+'13074_APPLETREE'!L16+'13084_REDHOUSE'!L16+'13082_MACHOUSE'!L16+'13071_RANDOMSOUTH'!L16+'13075_ADMISSIONS'!L16+'13063_HOWLAND'!L16+'14766_WHITTEMORE'!L16+'13070_HAPPYVALLEY'!L16+'13113_CABIN2'!L16+'13137_CABIN1'!L16+'13061_PRESSERWEST'!L16+'13085_POTTERY'!L16+'13491_MAINT'!L16+'13645_MARLNORTH'!L16+'17736_OUTOFWAY'!D16</f>
        <v>5062.03</v>
      </c>
      <c r="M17" s="107">
        <f>'14747_NEWMAINT'!M16+'13112_PERRINE'!M16+'13057_THEATER'!M16++'13059_AUD'!M16+'13068_HENDRICKS'!M16+'13081_COT4'!M16+'13080_COT3'!M16+'13058_DALRYMPLE'!M16+'13065_HALFWAY'!M16+'13060_LIBRARY'!M16+'13067_RANDOMNORTH'!M16+'13077_HAPPYVALLEY'!M16+'13069_CAMPUSCENTER'!M16+'13072_COT5'!M16+'13073_PRESSER'!M16+'13083_MUMFORD'!M16+'13078_COT1'!M16+'13079_COT2'!M16+'13064_SCHRADER'!M16+'13066_ALLTHEWAY'!M16+'13056_DININGHALL'!M16+'13062_SCIENCEBLDG'!M16+'13074_APPLETREE'!M16+'13084_REDHOUSE'!M16+'13082_MACHOUSE'!M16+'13071_RANDOMSOUTH'!M16+'13075_ADMISSIONS'!M16+'13063_HOWLAND'!M16+'14766_WHITTEMORE'!M16+'13070_HAPPYVALLEY'!M16+'13113_CABIN2'!M16+'13137_CABIN1'!M16+'13061_PRESSERWEST'!M16+'13085_POTTERY'!M16+'13491_MAINT'!M16+'13645_MARLNORTH'!M16</f>
        <v>4642.910000000001</v>
      </c>
      <c r="N17" s="132">
        <f>'14747_NEWMAINT'!N16+'13112_PERRINE'!N16+'13057_THEATER'!N16++'13059_AUD'!N16+'13068_HENDRICKS'!N16+'13081_COT4'!N16+'13080_COT3'!N16+'13058_DALRYMPLE'!N16+'13065_HALFWAY'!N16+'13060_LIBRARY'!N16+'13067_RANDOMNORTH'!N16+'13077_HAPPYVALLEY'!N16+'13069_CAMPUSCENTER'!N16+'13072_COT5'!N16+'13073_PRESSER'!N16+'13083_MUMFORD'!N16+'13078_COT1'!N16+'13079_COT2'!N16+'13064_SCHRADER'!N16+'13066_ALLTHEWAY'!N16+'13056_DININGHALL'!N16+'13062_SCIENCEBLDG'!N16+'13074_APPLETREE'!N16+'13084_REDHOUSE'!N16+'13082_MACHOUSE'!N16+'13071_RANDOMSOUTH'!N16+'13075_ADMISSIONS'!N16+'13063_HOWLAND'!N16+'14766_WHITTEMORE'!N16+'13070_HAPPYVALLEY'!N16+'13113_CABIN2'!N16+'13137_CABIN1'!N16+'13061_PRESSERWEST'!N16+'13085_POTTERY'!N16+'13491_MAINT'!N16+'13645_MARLNORTH'!N16+'17736_OUTOFWAY'!F16</f>
        <v>9165.57</v>
      </c>
      <c r="O17" s="107">
        <f>'14747_NEWMAINT'!O16+'13112_PERRINE'!O16+'13057_THEATER'!O16++'13059_AUD'!O16+'13068_HENDRICKS'!O16+'13081_COT4'!O16+'13080_COT3'!O16+'13058_DALRYMPLE'!O16+'13065_HALFWAY'!O16+'13060_LIBRARY'!O16+'13067_RANDOMNORTH'!O16+'13077_HAPPYVALLEY'!O16+'13069_CAMPUSCENTER'!O16+'13072_COT5'!O16+'13073_PRESSER'!O16+'13083_MUMFORD'!O16+'13078_COT1'!O16+'13079_COT2'!O16+'13064_SCHRADER'!O16+'13066_ALLTHEWAY'!O16+'13056_DININGHALL'!O16+'13062_SCIENCEBLDG'!O16+'13074_APPLETREE'!O16+'13084_REDHOUSE'!O16+'13082_MACHOUSE'!O16+'13071_RANDOMSOUTH'!O16+'13075_ADMISSIONS'!O16+'13063_HOWLAND'!O16+'14766_WHITTEMORE'!O16+'13070_HAPPYVALLEY'!O16+'13113_CABIN2'!O16+'13137_CABIN1'!O16+'13061_PRESSERWEST'!O16+'13085_POTTERY'!O16+'13491_MAINT'!O16+'13645_MARLNORTH'!O16</f>
        <v>5265.999999999999</v>
      </c>
      <c r="P17" s="132">
        <f>'13056_DININGHALL'!P16+'13057_THEATER'!P16+'13058_DALRYMPLE'!P16+'13059_AUD'!P16+'13060_LIBRARY'!P16+'13061_PRESSERWEST'!P16+'13062_SCIENCEBLDG'!P16+'13063_HOWLAND'!P16+'13064_SCHRADER'!P16+'13065_HALFWAY'!P16+'13066_ALLTHEWAY'!P16+'13067_RANDOMNORTH'!P16+'13068_HENDRICKS'!P16+'13069_CAMPUSCENTER'!P16+'13070_HAPPYVALLEY'!P16+'13071_RANDOMSOUTH'!P16+'13072_COT5'!P16+'13074_APPLETREE'!P16+'13075_ADMISSIONS'!P16+'13077_HAPPYVALLEY'!P16+'13078_COT1'!P16+'13079_COT2'!P16+'13080_COT3'!P16+'13081_COT4'!P16+'13082_MACHOUSE'!P16+'13083_MUMFORD'!P16+'13084_REDHOUSE'!P16+'13085_POTTERY'!P16+'13112_PERRINE'!P16+'13113_CABIN2'!P16+'13137_CABIN1'!P16+'13491_MAINT'!P16+'13645_MARLNORTH'!P16+'14747_NEWMAINT'!P16+'14766_WHITTEMORE'!P16+'17736_OUTOFWAY'!H16+'21054_COT6'!B16</f>
        <v>11575.24</v>
      </c>
      <c r="Q17" s="174">
        <f>'13056_DININGHALL'!Q16+'13057_THEATER'!Q16+'13058_DALRYMPLE'!Q16+'13059_AUD'!Q16+'13060_LIBRARY'!Q16+'13061_PRESSERWEST'!Q16+'13062_SCIENCEBLDG'!Q16+'13063_HOWLAND'!Q16+'13064_SCHRADER'!Q16+'13065_HALFWAY'!Q16+'13066_ALLTHEWAY'!Q16+'13067_RANDOMNORTH'!Q16+'13068_HENDRICKS'!Q16+'13069_CAMPUSCENTER'!Q16+'13070_HAPPYVALLEY'!Q16+'13071_RANDOMSOUTH'!Q16+'13072_COT5'!Q16+'13074_APPLETREE'!Q16+'13075_ADMISSIONS'!Q16+'13077_HAPPYVALLEY'!Q16+'13078_COT1'!Q16+'13079_COT2'!Q16+'13080_COT3'!Q16+'13081_COT4'!Q16+'13082_MACHOUSE'!Q16+'13083_MUMFORD'!Q16+'13084_REDHOUSE'!Q16+'13085_POTTERY'!Q16+'13112_PERRINE'!Q16+'13113_CABIN2'!Q16+'13137_CABIN1'!Q16+'13491_MAINT'!Q16+'13645_MARLNORTH'!Q16+'14747_NEWMAINT'!Q16+'14766_WHITTEMORE'!Q16+'17736_OUTOFWAY'!I16+'21054_COT6'!C16</f>
        <v>5567.289999999999</v>
      </c>
      <c r="R17" s="132">
        <f>'14747_NEWMAINT'!R16+'13112_PERRINE'!R16+'13057_THEATER'!R16++'13059_AUD'!R16+'13068_HENDRICKS'!R16+'13081_COT4'!R16+'13080_COT3'!R16+'13058_DALRYMPLE'!R16+'13065_HALFWAY'!R16+'13060_LIBRARY'!R16+'13067_RANDOMNORTH'!R16+'13077_HAPPYVALLEY'!R16+'13069_CAMPUSCENTER'!R16+'13072_COT5'!R16+'13073_PRESSER'!R16+'13083_MUMFORD'!R16+'13078_COT1'!R16+'13079_COT2'!R16+'13064_SCHRADER'!R16+'13066_ALLTHEWAY'!R16+'13056_DININGHALL'!R16+'13062_SCIENCEBLDG'!R16+'13074_APPLETREE'!R16+'13084_REDHOUSE'!R16+'13082_MACHOUSE'!R16+'13071_RANDOMSOUTH'!R16+'13075_ADMISSIONS'!R16+'13063_HOWLAND'!R16+'14766_WHITTEMORE'!R16+'13070_HAPPYVALLEY'!R16+'13113_CABIN2'!R16+'13137_CABIN1'!R16+'13061_PRESSERWEST'!R16+'13085_POTTERY'!R16+'13491_MAINT'!R16+'13645_MARLNORTH'!R16+'17736_OUTOFWAY'!J16</f>
        <v>16311.25</v>
      </c>
      <c r="S17" s="107">
        <f>'14747_NEWMAINT'!S16+'13112_PERRINE'!S16+'13057_THEATER'!S16++'13059_AUD'!S16+'13068_HENDRICKS'!S16+'13081_COT4'!S16+'13080_COT3'!S16+'13058_DALRYMPLE'!S16+'13065_HALFWAY'!S16+'13060_LIBRARY'!S16+'13067_RANDOMNORTH'!S16+'13077_HAPPYVALLEY'!S16+'13069_CAMPUSCENTER'!S16+'13072_COT5'!S16+'13073_PRESSER'!S16+'13083_MUMFORD'!S16+'13078_COT1'!S16+'13079_COT2'!S16+'13064_SCHRADER'!S16+'13066_ALLTHEWAY'!S16+'13056_DININGHALL'!S16+'13062_SCIENCEBLDG'!S16+'13074_APPLETREE'!S16+'13084_REDHOUSE'!S16+'13082_MACHOUSE'!S16+'13071_RANDOMSOUTH'!S16+'13075_ADMISSIONS'!S16+'13063_HOWLAND'!S16+'14766_WHITTEMORE'!S16+'13070_HAPPYVALLEY'!S16+'13113_CABIN2'!S16+'13137_CABIN1'!S16+'13061_PRESSERWEST'!S16+'13085_POTTERY'!S16+'13491_MAINT'!S16+'13645_MARLNORTH'!S16</f>
        <v>6431.699999999999</v>
      </c>
      <c r="T17" s="132">
        <f>'14747_NEWMAINT'!T16+'13112_PERRINE'!T16+'13057_THEATER'!T16++'13059_AUD'!T16+'13068_HENDRICKS'!T16+'13081_COT4'!T16+'13080_COT3'!T16+'13058_DALRYMPLE'!T16+'13065_HALFWAY'!T16+'13060_LIBRARY'!T16+'13067_RANDOMNORTH'!T16+'13077_HAPPYVALLEY'!T16+'13069_CAMPUSCENTER'!T16+'13072_COT5'!T16+'13073_PRESSER'!T16+'13083_MUMFORD'!T16+'13078_COT1'!T16+'13079_COT2'!T16+'13064_SCHRADER'!T16+'13066_ALLTHEWAY'!T16+'13056_DININGHALL'!T16+'13062_SCIENCEBLDG'!T16+'13074_APPLETREE'!T16+'13084_REDHOUSE'!T16+'13082_MACHOUSE'!T16+'13071_RANDOMSOUTH'!T16+'13075_ADMISSIONS'!T16+'13063_HOWLAND'!T16+'14766_WHITTEMORE'!T16+'13070_HAPPYVALLEY'!T16+'13113_CABIN2'!T16+'13137_CABIN1'!T16+'13061_PRESSERWEST'!T16+'13085_POTTERY'!T16+'13491_MAINT'!T16+'13645_MARLNORTH'!T16+'17736_OUTOFWAY'!L16</f>
        <v>0</v>
      </c>
      <c r="U17" s="107">
        <f>'14747_NEWMAINT'!U16+'13112_PERRINE'!U16+'13057_THEATER'!U16++'13059_AUD'!U16+'13068_HENDRICKS'!U16+'13081_COT4'!U16+'13080_COT3'!U16+'13058_DALRYMPLE'!U16+'13065_HALFWAY'!U16+'13060_LIBRARY'!U16+'13067_RANDOMNORTH'!U16+'13077_HAPPYVALLEY'!U16+'13069_CAMPUSCENTER'!U16+'13072_COT5'!U16+'13073_PRESSER'!U16+'13083_MUMFORD'!U16+'13078_COT1'!U16+'13079_COT2'!U16+'13064_SCHRADER'!U16+'13066_ALLTHEWAY'!U16+'13056_DININGHALL'!U16+'13062_SCIENCEBLDG'!U16+'13074_APPLETREE'!U16+'13084_REDHOUSE'!U16+'13082_MACHOUSE'!U16+'13071_RANDOMSOUTH'!U16+'13075_ADMISSIONS'!U16+'13063_HOWLAND'!U16+'14766_WHITTEMORE'!U16+'13070_HAPPYVALLEY'!U16+'13113_CABIN2'!U16+'13137_CABIN1'!U16+'13061_PRESSERWEST'!U16+'13085_POTTERY'!U16+'13491_MAINT'!U16+'13645_MARLNORTH'!U16</f>
        <v>0</v>
      </c>
    </row>
    <row r="18" spans="1:21" ht="15">
      <c r="A18" s="2" t="s">
        <v>19</v>
      </c>
      <c r="B18" s="73">
        <f>'14747_NEWMAINT'!B17+'13112_PERRINE'!B17+'13057_THEATER'!B17++'13059_AUD'!B17+'13068_HENDRICKS'!B17+'13081_COT4'!B17+'13080_COT3'!B17+'13058_DALRYMPLE'!B17+'13065_HALFWAY'!B17+'13060_LIBRARY'!B17+'13067_RANDOMNORTH'!B17+'13077_HAPPYVALLEY'!B17+'13069_CAMPUSCENTER'!B17+'13072_COT5'!B17+'13073_PRESSER'!B17+'13083_MUMFORD'!B17+'13078_COT1'!B17+'13079_COT2'!B17+'13064_SCHRADER'!B17+'13066_ALLTHEWAY'!B17+'13056_DININGHALL'!B17+'13062_SCIENCEBLDG'!B17+'13074_APPLETREE'!B17+'13084_REDHOUSE'!B17+'13082_MACHOUSE'!B17+'13071_RANDOMSOUTH'!B17+'13075_ADMISSIONS'!B17+'13063_HOWLAND'!B17+'14766_WHITTEMORE'!B17+'13070_HAPPYVALLEY'!B17+'13113_CABIN2'!B17+'13137_CABIN1'!B17+'13061_PRESSERWEST'!B17+'13085_POTTERY'!B17</f>
        <v>6856.849999999999</v>
      </c>
      <c r="C18" s="108">
        <f>'14747_NEWMAINT'!C17+'13112_PERRINE'!C17+'13057_THEATER'!C17++'13059_AUD'!C17+'13068_HENDRICKS'!C17+'13081_COT4'!C17+'13080_COT3'!C17+'13058_DALRYMPLE'!C17+'13065_HALFWAY'!C17+'13060_LIBRARY'!C17+'13067_RANDOMNORTH'!C17+'13077_HAPPYVALLEY'!C17+'13069_CAMPUSCENTER'!C17+'13072_COT5'!C17+'13073_PRESSER'!C17+'13083_MUMFORD'!C17+'13078_COT1'!C17+'13079_COT2'!C17+'13064_SCHRADER'!C17+'13066_ALLTHEWAY'!C17+'13056_DININGHALL'!C17+'13062_SCIENCEBLDG'!C17+'13074_APPLETREE'!C17+'13084_REDHOUSE'!C17+'13082_MACHOUSE'!C17+'13071_RANDOMSOUTH'!C17+'13075_ADMISSIONS'!C17+'13063_HOWLAND'!C17+'14766_WHITTEMORE'!C17+'13070_HAPPYVALLEY'!C17+'13113_CABIN2'!C17+'13137_CABIN1'!C17+'13061_PRESSERWEST'!C17+'13085_POTTERY'!C17</f>
        <v>12053.699999999997</v>
      </c>
      <c r="D18" s="73">
        <f>'14747_NEWMAINT'!D17+'13112_PERRINE'!D17+'13057_THEATER'!D17++'13059_AUD'!D17+'13068_HENDRICKS'!D17+'13081_COT4'!D17+'13080_COT3'!D17+'13058_DALRYMPLE'!D17+'13065_HALFWAY'!D17+'13060_LIBRARY'!D17+'13067_RANDOMNORTH'!D17+'13077_HAPPYVALLEY'!D17+'13069_CAMPUSCENTER'!D17+'13072_COT5'!D17+'13073_PRESSER'!D17+'13083_MUMFORD'!D17+'13078_COT1'!D17+'13079_COT2'!D17+'13064_SCHRADER'!D17+'13066_ALLTHEWAY'!D17+'13056_DININGHALL'!D17+'13062_SCIENCEBLDG'!D17+'13074_APPLETREE'!D17+'13084_REDHOUSE'!D17+'13082_MACHOUSE'!D17+'13071_RANDOMSOUTH'!D17+'13075_ADMISSIONS'!D17+'13063_HOWLAND'!D17+'14766_WHITTEMORE'!D17+'13070_HAPPYVALLEY'!D17+'13113_CABIN2'!D17+'13137_CABIN1'!D17+'13061_PRESSERWEST'!D17+'13085_POTTERY'!D17+'13491_MAINT'!D17+'13645_MARLNORTH'!D17</f>
        <v>7007.179999999999</v>
      </c>
      <c r="E18" s="107">
        <f>'14747_NEWMAINT'!E17+'13112_PERRINE'!E17+'13057_THEATER'!E17++'13059_AUD'!E17+'13068_HENDRICKS'!E17+'13081_COT4'!E17+'13080_COT3'!E17+'13058_DALRYMPLE'!E17+'13065_HALFWAY'!E17+'13060_LIBRARY'!E17+'13067_RANDOMNORTH'!E17+'13077_HAPPYVALLEY'!E17+'13069_CAMPUSCENTER'!E17+'13072_COT5'!E17+'13073_PRESSER'!E17+'13083_MUMFORD'!E17+'13078_COT1'!E17+'13079_COT2'!E17+'13064_SCHRADER'!E17+'13066_ALLTHEWAY'!E17+'13056_DININGHALL'!E17+'13062_SCIENCEBLDG'!E17+'13074_APPLETREE'!E17+'13084_REDHOUSE'!E17+'13082_MACHOUSE'!E17+'13071_RANDOMSOUTH'!E17+'13075_ADMISSIONS'!E17+'13063_HOWLAND'!E17+'14766_WHITTEMORE'!E17+'13070_HAPPYVALLEY'!E17+'13113_CABIN2'!E17+'13137_CABIN1'!E17+'13061_PRESSERWEST'!E17+'13085_POTTERY'!E17+'13491_MAINT'!E17+'13645_MARLNORTH'!E17</f>
        <v>8611.410000000003</v>
      </c>
      <c r="F18" s="73">
        <f>'14747_NEWMAINT'!F17+'13112_PERRINE'!F17+'13057_THEATER'!F17++'13059_AUD'!F17+'13068_HENDRICKS'!F17+'13081_COT4'!F17+'13080_COT3'!F17+'13058_DALRYMPLE'!F17+'13065_HALFWAY'!F17+'13060_LIBRARY'!F17+'13067_RANDOMNORTH'!F17+'13077_HAPPYVALLEY'!F17+'13069_CAMPUSCENTER'!F17+'13072_COT5'!F17+'13073_PRESSER'!F17+'13083_MUMFORD'!F17+'13078_COT1'!F17+'13079_COT2'!F17+'13064_SCHRADER'!F17+'13066_ALLTHEWAY'!F17+'13056_DININGHALL'!F17+'13062_SCIENCEBLDG'!F17+'13074_APPLETREE'!F17+'13084_REDHOUSE'!F17+'13082_MACHOUSE'!F17+'13071_RANDOMSOUTH'!F17+'13075_ADMISSIONS'!F17+'13063_HOWLAND'!F17+'14766_WHITTEMORE'!F17+'13070_HAPPYVALLEY'!F17+'13113_CABIN2'!F17+'13137_CABIN1'!F17+'13061_PRESSERWEST'!F17+'13085_POTTERY'!F17+'13491_MAINT'!F17+'13645_MARLNORTH'!F17</f>
        <v>12809.660000000002</v>
      </c>
      <c r="G18" s="107">
        <f>'14747_NEWMAINT'!G17+'13112_PERRINE'!G17+'13057_THEATER'!G17++'13059_AUD'!G17+'13068_HENDRICKS'!G17+'13081_COT4'!G17+'13080_COT3'!G17+'13058_DALRYMPLE'!G17+'13065_HALFWAY'!G17+'13060_LIBRARY'!G17+'13067_RANDOMNORTH'!G17+'13077_HAPPYVALLEY'!G17+'13069_CAMPUSCENTER'!G17+'13072_COT5'!G17+'13073_PRESSER'!G17+'13083_MUMFORD'!G17+'13078_COT1'!G17+'13079_COT2'!G17+'13064_SCHRADER'!G17+'13066_ALLTHEWAY'!G17+'13056_DININGHALL'!G17+'13062_SCIENCEBLDG'!G17+'13074_APPLETREE'!G17+'13084_REDHOUSE'!G17+'13082_MACHOUSE'!G17+'13071_RANDOMSOUTH'!G17+'13075_ADMISSIONS'!G17+'13063_HOWLAND'!G17+'14766_WHITTEMORE'!G17+'13070_HAPPYVALLEY'!G17+'13113_CABIN2'!G17+'13137_CABIN1'!G17+'13061_PRESSERWEST'!G17+'13085_POTTERY'!G17+'13491_MAINT'!G17+'13645_MARLNORTH'!G17</f>
        <v>12331.199999999999</v>
      </c>
      <c r="H18" s="130">
        <f>'14747_NEWMAINT'!H17+'13112_PERRINE'!H17+'13057_THEATER'!H17++'13059_AUD'!H17+'13068_HENDRICKS'!H17+'13081_COT4'!H17+'13080_COT3'!H17+'13058_DALRYMPLE'!H17+'13065_HALFWAY'!H17+'13060_LIBRARY'!H17+'13067_RANDOMNORTH'!H17+'13077_HAPPYVALLEY'!H17+'13069_CAMPUSCENTER'!H17+'13072_COT5'!H17+'13073_PRESSER'!H17+'13083_MUMFORD'!H17+'13078_COT1'!H17+'13079_COT2'!H17+'13064_SCHRADER'!H17+'13066_ALLTHEWAY'!H17+'13056_DININGHALL'!H17+'13062_SCIENCEBLDG'!H17+'13074_APPLETREE'!H17+'13084_REDHOUSE'!H17+'13082_MACHOUSE'!H17+'13071_RANDOMSOUTH'!H17+'13075_ADMISSIONS'!H17+'13063_HOWLAND'!H17+'14766_WHITTEMORE'!H17+'13070_HAPPYVALLEY'!H17+'13113_CABIN2'!H17+'13137_CABIN1'!H17+'13061_PRESSERWEST'!H17+'13085_POTTERY'!H17+'13491_MAINT'!H17+'13645_MARLNORTH'!H17</f>
        <v>11116.499999999996</v>
      </c>
      <c r="I18" s="107">
        <f>'14747_NEWMAINT'!I17+'13112_PERRINE'!I17+'13057_THEATER'!I17++'13059_AUD'!I17+'13068_HENDRICKS'!I17+'13081_COT4'!I17+'13080_COT3'!I17+'13058_DALRYMPLE'!I17+'13065_HALFWAY'!I17+'13060_LIBRARY'!I17+'13067_RANDOMNORTH'!I17+'13077_HAPPYVALLEY'!I17+'13069_CAMPUSCENTER'!I17+'13072_COT5'!I17+'13073_PRESSER'!I17+'13083_MUMFORD'!I17+'13078_COT1'!I17+'13079_COT2'!I17+'13064_SCHRADER'!I17+'13066_ALLTHEWAY'!I17+'13056_DININGHALL'!I17+'13062_SCIENCEBLDG'!I17+'13074_APPLETREE'!I17+'13084_REDHOUSE'!I17+'13082_MACHOUSE'!I17+'13071_RANDOMSOUTH'!I17+'13075_ADMISSIONS'!I17+'13063_HOWLAND'!I17+'14766_WHITTEMORE'!I17+'13070_HAPPYVALLEY'!I17+'13113_CABIN2'!I17+'13137_CABIN1'!I17+'13061_PRESSERWEST'!I17+'13085_POTTERY'!I17+'13491_MAINT'!I17+'13645_MARLNORTH'!I17</f>
        <v>10885.000000000004</v>
      </c>
      <c r="J18" s="130">
        <f>'14747_NEWMAINT'!J17+'13112_PERRINE'!J17+'13057_THEATER'!J17+'13059_AUD'!J17+'13068_HENDRICKS'!J17+'13081_COT4'!J17+'13080_COT3'!J17+'13058_DALRYMPLE'!J17+'13065_HALFWAY'!J17+'13060_LIBRARY'!J17+'13067_RANDOMNORTH'!J17+'13077_HAPPYVALLEY'!J17+'13069_CAMPUSCENTER'!J17+'13072_COT5'!J17+'13073_PRESSER'!J17+'13083_MUMFORD'!J17+'13078_COT1'!J17+'13079_COT2'!J17+'13064_SCHRADER'!J17+'13066_ALLTHEWAY'!J17+'13056_DININGHALL'!J17+'13062_SCIENCEBLDG'!J17+'13074_APPLETREE'!J17+'13084_REDHOUSE'!J17+'13082_MACHOUSE'!J17+'13071_RANDOMSOUTH'!J17+'13075_ADMISSIONS'!J17+'13063_HOWLAND'!J17+'14766_WHITTEMORE'!J17+'13070_HAPPYVALLEY'!J17+'13113_CABIN2'!J17+'13137_CABIN1'!J17+'13061_PRESSERWEST'!J17+'13085_POTTERY'!J17+'13491_MAINT'!J17+'13645_MARLNORTH'!J17+'17736_OUTOFWAY'!B17</f>
        <v>9475.080000000002</v>
      </c>
      <c r="K18" s="107">
        <f>'14747_NEWMAINT'!K17+'13112_PERRINE'!K17+'13057_THEATER'!K17+'13059_AUD'!K17+'13068_HENDRICKS'!K17+'13081_COT4'!K17+'13080_COT3'!K17+'13058_DALRYMPLE'!K17+'13065_HALFWAY'!K17+'13060_LIBRARY'!K17+'13067_RANDOMNORTH'!K17+'13077_HAPPYVALLEY'!K17+'13069_CAMPUSCENTER'!K17+'13072_COT5'!K17+'13073_PRESSER'!K17+'13083_MUMFORD'!K17+'13078_COT1'!K17+'13079_COT2'!K17+'13064_SCHRADER'!K17+'13066_ALLTHEWAY'!K17+'13056_DININGHALL'!K17+'13062_SCIENCEBLDG'!K17+'13074_APPLETREE'!K17+'13084_REDHOUSE'!K17+'13082_MACHOUSE'!K17+'13071_RANDOMSOUTH'!K17+'13075_ADMISSIONS'!K17+'13063_HOWLAND'!K17+'14766_WHITTEMORE'!K17+'13070_HAPPYVALLEY'!K17+'13113_CABIN2'!K17+'13137_CABIN1'!K17+'13061_PRESSERWEST'!K17+'13085_POTTERY'!K17+'13491_MAINT'!K17+'13645_MARLNORTH'!K17+'17736_OUTOFWAY'!C17</f>
        <v>10059.000000000002</v>
      </c>
      <c r="L18" s="132">
        <f>'14747_NEWMAINT'!L17+'13112_PERRINE'!L17+'13057_THEATER'!L17++'13059_AUD'!L17+'13068_HENDRICKS'!L17+'13081_COT4'!L17+'13080_COT3'!L17+'13058_DALRYMPLE'!L17+'13065_HALFWAY'!L17+'13060_LIBRARY'!L17+'13067_RANDOMNORTH'!L17+'13077_HAPPYVALLEY'!L17+'13069_CAMPUSCENTER'!L17+'13072_COT5'!L17+'13073_PRESSER'!L17+'13083_MUMFORD'!L17+'13078_COT1'!L17+'13079_COT2'!L17+'13064_SCHRADER'!L17+'13066_ALLTHEWAY'!L17+'13056_DININGHALL'!L17+'13062_SCIENCEBLDG'!L17+'13074_APPLETREE'!L17+'13084_REDHOUSE'!L17+'13082_MACHOUSE'!L17+'13071_RANDOMSOUTH'!L17+'13075_ADMISSIONS'!L17+'13063_HOWLAND'!L17+'14766_WHITTEMORE'!L17+'13070_HAPPYVALLEY'!L17+'13113_CABIN2'!L17+'13137_CABIN1'!L17+'13061_PRESSERWEST'!L17+'13085_POTTERY'!L17+'13491_MAINT'!L17+'13645_MARLNORTH'!L17+'17736_OUTOFWAY'!D17</f>
        <v>10455.700000000003</v>
      </c>
      <c r="M18" s="107">
        <f>'14747_NEWMAINT'!M17+'13112_PERRINE'!M17+'13057_THEATER'!M17++'13059_AUD'!M17+'13068_HENDRICKS'!M17+'13081_COT4'!M17+'13080_COT3'!M17+'13058_DALRYMPLE'!M17+'13065_HALFWAY'!M17+'13060_LIBRARY'!M17+'13067_RANDOMNORTH'!M17+'13077_HAPPYVALLEY'!M17+'13069_CAMPUSCENTER'!M17+'13072_COT5'!M17+'13073_PRESSER'!M17+'13083_MUMFORD'!M17+'13078_COT1'!M17+'13079_COT2'!M17+'13064_SCHRADER'!M17+'13066_ALLTHEWAY'!M17+'13056_DININGHALL'!M17+'13062_SCIENCEBLDG'!M17+'13074_APPLETREE'!M17+'13084_REDHOUSE'!M17+'13082_MACHOUSE'!M17+'13071_RANDOMSOUTH'!M17+'13075_ADMISSIONS'!M17+'13063_HOWLAND'!M17+'14766_WHITTEMORE'!M17+'13070_HAPPYVALLEY'!M17+'13113_CABIN2'!M17+'13137_CABIN1'!M17+'13061_PRESSERWEST'!M17+'13085_POTTERY'!M17+'13491_MAINT'!M17+'13645_MARLNORTH'!M17</f>
        <v>9263.000000000002</v>
      </c>
      <c r="N18" s="132">
        <f>'14747_NEWMAINT'!N17+'13112_PERRINE'!N17+'13057_THEATER'!N17++'13059_AUD'!N17+'13068_HENDRICKS'!N17+'13081_COT4'!N17+'13080_COT3'!N17+'13058_DALRYMPLE'!N17+'13065_HALFWAY'!N17+'13060_LIBRARY'!N17+'13067_RANDOMNORTH'!N17+'13077_HAPPYVALLEY'!N17+'13069_CAMPUSCENTER'!N17+'13072_COT5'!N17+'13073_PRESSER'!N17+'13083_MUMFORD'!N17+'13078_COT1'!N17+'13079_COT2'!N17+'13064_SCHRADER'!N17+'13066_ALLTHEWAY'!N17+'13056_DININGHALL'!N17+'13062_SCIENCEBLDG'!N17+'13074_APPLETREE'!N17+'13084_REDHOUSE'!N17+'13082_MACHOUSE'!N17+'13071_RANDOMSOUTH'!N17+'13075_ADMISSIONS'!N17+'13063_HOWLAND'!N17+'14766_WHITTEMORE'!N17+'13070_HAPPYVALLEY'!N17+'13113_CABIN2'!N17+'13137_CABIN1'!N17+'13061_PRESSERWEST'!N17+'13085_POTTERY'!N17+'13491_MAINT'!N17+'13645_MARLNORTH'!N17+'17736_OUTOFWAY'!F17</f>
        <v>16926.179999999997</v>
      </c>
      <c r="O18" s="107">
        <f>'14747_NEWMAINT'!O17+'13112_PERRINE'!O17+'13057_THEATER'!O17++'13059_AUD'!O17+'13068_HENDRICKS'!O17+'13081_COT4'!O17+'13080_COT3'!O17+'13058_DALRYMPLE'!O17+'13065_HALFWAY'!O17+'13060_LIBRARY'!O17+'13067_RANDOMNORTH'!O17+'13077_HAPPYVALLEY'!O17+'13069_CAMPUSCENTER'!O17+'13072_COT5'!O17+'13073_PRESSER'!O17+'13083_MUMFORD'!O17+'13078_COT1'!O17+'13079_COT2'!O17+'13064_SCHRADER'!O17+'13066_ALLTHEWAY'!O17+'13056_DININGHALL'!O17+'13062_SCIENCEBLDG'!O17+'13074_APPLETREE'!O17+'13084_REDHOUSE'!O17+'13082_MACHOUSE'!O17+'13071_RANDOMSOUTH'!O17+'13075_ADMISSIONS'!O17+'13063_HOWLAND'!O17+'14766_WHITTEMORE'!O17+'13070_HAPPYVALLEY'!O17+'13113_CABIN2'!O17+'13137_CABIN1'!O17+'13061_PRESSERWEST'!O17+'13085_POTTERY'!O17+'13491_MAINT'!O17+'13645_MARLNORTH'!O17</f>
        <v>10773.500000000002</v>
      </c>
      <c r="P18" s="132">
        <f>'13056_DININGHALL'!P17+'13057_THEATER'!P17+'13058_DALRYMPLE'!P17+'13059_AUD'!P17+'13060_LIBRARY'!P17+'13061_PRESSERWEST'!P17+'13062_SCIENCEBLDG'!P17+'13063_HOWLAND'!P17+'13064_SCHRADER'!P17+'13065_HALFWAY'!P17+'13066_ALLTHEWAY'!P17+'13067_RANDOMNORTH'!P17+'13068_HENDRICKS'!P17+'13069_CAMPUSCENTER'!P17+'13070_HAPPYVALLEY'!P17+'13071_RANDOMSOUTH'!P17+'13072_COT5'!P17+'13074_APPLETREE'!P17+'13075_ADMISSIONS'!P17+'13645_MARLNORTH'!P17+'13078_COT1'!P17+'13079_COT2'!P17+'13080_COT3'!P17+'13081_COT4'!P17+'13082_MACHOUSE'!P17+'13083_MUMFORD'!P17+'13084_REDHOUSE'!P17+'13085_POTTERY'!P17+'13112_PERRINE'!P17+'13113_CABIN2'!P17+'13137_CABIN1'!P17+'13491_MAINT'!P17+'13645_MARLNORTH'!P17+'14747_NEWMAINT'!P17+'14766_WHITTEMORE'!P17+'17736_OUTOFWAY'!H17+'21054_COT6'!B17</f>
        <v>19595.049999999996</v>
      </c>
      <c r="Q18" s="174">
        <f>'13056_DININGHALL'!Q17+'13057_THEATER'!Q17+'13058_DALRYMPLE'!Q17+'13059_AUD'!Q17+'13060_LIBRARY'!Q17+'13061_PRESSERWEST'!Q17+'13062_SCIENCEBLDG'!Q17+'13063_HOWLAND'!Q17+'13064_SCHRADER'!Q17+'13065_HALFWAY'!Q17+'13066_ALLTHEWAY'!Q17+'13067_RANDOMNORTH'!Q17+'13068_HENDRICKS'!Q17+'13069_CAMPUSCENTER'!Q17+'13070_HAPPYVALLEY'!Q17+'13071_RANDOMSOUTH'!Q17+'13072_COT5'!Q17+'13074_APPLETREE'!Q17+'13075_ADMISSIONS'!Q17+'13645_MARLNORTH'!Q17+'13078_COT1'!Q17+'13079_COT2'!Q17+'13080_COT3'!Q17+'13081_COT4'!Q17+'13082_MACHOUSE'!Q17+'13083_MUMFORD'!Q17+'13084_REDHOUSE'!Q17+'13085_POTTERY'!Q17+'13112_PERRINE'!Q17+'13113_CABIN2'!Q17+'13137_CABIN1'!Q17+'13491_MAINT'!Q17+'13645_MARLNORTH'!Q17+'14747_NEWMAINT'!Q17+'14766_WHITTEMORE'!Q17+'17736_OUTOFWAY'!I17+'21054_COT6'!C17</f>
        <v>9344.699999999997</v>
      </c>
      <c r="R18" s="132">
        <f>'14747_NEWMAINT'!R17+'13112_PERRINE'!R17+'13057_THEATER'!R17++'13059_AUD'!R17+'13068_HENDRICKS'!R17+'13081_COT4'!R17+'13080_COT3'!R17+'13058_DALRYMPLE'!R17+'13065_HALFWAY'!R17+'13060_LIBRARY'!R17+'13067_RANDOMNORTH'!R17+'13077_HAPPYVALLEY'!R17+'13069_CAMPUSCENTER'!R17+'13072_COT5'!R17+'13073_PRESSER'!R17+'13083_MUMFORD'!R17+'13078_COT1'!R17+'13079_COT2'!R17+'13064_SCHRADER'!R17+'13066_ALLTHEWAY'!R17+'13056_DININGHALL'!R17+'13062_SCIENCEBLDG'!R17+'13074_APPLETREE'!R17+'13084_REDHOUSE'!R17+'13082_MACHOUSE'!R17+'13071_RANDOMSOUTH'!R17+'13075_ADMISSIONS'!R17+'13063_HOWLAND'!R17+'14766_WHITTEMORE'!R17+'13070_HAPPYVALLEY'!R17+'13113_CABIN2'!R17+'13137_CABIN1'!R17+'13061_PRESSERWEST'!R17+'13085_POTTERY'!R17+'13491_MAINT'!R17+'13645_MARLNORTH'!R17+'17736_OUTOFWAY'!J17</f>
        <v>19196.170000000002</v>
      </c>
      <c r="S18" s="107">
        <f>'14747_NEWMAINT'!S17+'13112_PERRINE'!S17+'13057_THEATER'!S17++'13059_AUD'!S17+'13068_HENDRICKS'!S17+'13081_COT4'!S17+'13080_COT3'!S17+'13058_DALRYMPLE'!S17+'13065_HALFWAY'!S17+'13060_LIBRARY'!S17+'13067_RANDOMNORTH'!S17+'13077_HAPPYVALLEY'!S17+'13069_CAMPUSCENTER'!S17+'13072_COT5'!S17+'13073_PRESSER'!S17+'13083_MUMFORD'!S17+'13078_COT1'!S17+'13079_COT2'!S17+'13064_SCHRADER'!S17+'13066_ALLTHEWAY'!S17+'13056_DININGHALL'!S17+'13062_SCIENCEBLDG'!S17+'13074_APPLETREE'!S17+'13084_REDHOUSE'!S17+'13082_MACHOUSE'!S17+'13071_RANDOMSOUTH'!S17+'13075_ADMISSIONS'!S17+'13063_HOWLAND'!S17+'14766_WHITTEMORE'!S17+'13070_HAPPYVALLEY'!S17+'13113_CABIN2'!S17+'13137_CABIN1'!S17+'13061_PRESSERWEST'!S17+'13085_POTTERY'!S17+'13491_MAINT'!S17+'13645_MARLNORTH'!S17</f>
        <v>7632.6</v>
      </c>
      <c r="T18" s="132">
        <f>'14747_NEWMAINT'!T17+'13112_PERRINE'!T17+'13057_THEATER'!T17++'13059_AUD'!T17+'13068_HENDRICKS'!T17+'13081_COT4'!T17+'13080_COT3'!T17+'13058_DALRYMPLE'!T17+'13065_HALFWAY'!T17+'13060_LIBRARY'!T17+'13067_RANDOMNORTH'!T17+'13077_HAPPYVALLEY'!T17+'13069_CAMPUSCENTER'!T17+'13072_COT5'!T17+'13073_PRESSER'!T17+'13083_MUMFORD'!T17+'13078_COT1'!T17+'13079_COT2'!T17+'13064_SCHRADER'!T17+'13066_ALLTHEWAY'!T17+'13056_DININGHALL'!T17+'13062_SCIENCEBLDG'!T17+'13074_APPLETREE'!T17+'13084_REDHOUSE'!T17+'13082_MACHOUSE'!T17+'13071_RANDOMSOUTH'!T17+'13075_ADMISSIONS'!T17+'13063_HOWLAND'!T17+'14766_WHITTEMORE'!T17+'13070_HAPPYVALLEY'!T17+'13113_CABIN2'!T17+'13137_CABIN1'!T17+'13061_PRESSERWEST'!T17+'13085_POTTERY'!T17+'13491_MAINT'!T17+'13645_MARLNORTH'!T17+'17736_OUTOFWAY'!L17</f>
        <v>0</v>
      </c>
      <c r="U18" s="107">
        <f>'14747_NEWMAINT'!U17+'13112_PERRINE'!U17+'13057_THEATER'!U17++'13059_AUD'!U17+'13068_HENDRICKS'!U17+'13081_COT4'!U17+'13080_COT3'!U17+'13058_DALRYMPLE'!U17+'13065_HALFWAY'!U17+'13060_LIBRARY'!U17+'13067_RANDOMNORTH'!U17+'13077_HAPPYVALLEY'!U17+'13069_CAMPUSCENTER'!U17+'13072_COT5'!U17+'13073_PRESSER'!U17+'13083_MUMFORD'!U17+'13078_COT1'!U17+'13079_COT2'!U17+'13064_SCHRADER'!U17+'13066_ALLTHEWAY'!U17+'13056_DININGHALL'!U17+'13062_SCIENCEBLDG'!U17+'13074_APPLETREE'!U17+'13084_REDHOUSE'!U17+'13082_MACHOUSE'!U17+'13071_RANDOMSOUTH'!U17+'13075_ADMISSIONS'!U17+'13063_HOWLAND'!U17+'14766_WHITTEMORE'!U17+'13070_HAPPYVALLEY'!U17+'13113_CABIN2'!U17+'13137_CABIN1'!U17+'13061_PRESSERWEST'!U17+'13085_POTTERY'!U17+'13491_MAINT'!U17+'13645_MARLNORTH'!U17</f>
        <v>0</v>
      </c>
    </row>
    <row r="19" spans="1:21" ht="15.75" thickBot="1">
      <c r="A19" s="2" t="s">
        <v>20</v>
      </c>
      <c r="B19" s="73">
        <f>'14747_NEWMAINT'!B18+'13112_PERRINE'!B18+'13057_THEATER'!B18++'13059_AUD'!B18+'13068_HENDRICKS'!B18+'13081_COT4'!B18+'13080_COT3'!B18+'13058_DALRYMPLE'!B18+'13065_HALFWAY'!B18+'13060_LIBRARY'!B18+'13067_RANDOMNORTH'!B18+'13077_HAPPYVALLEY'!B18+'13069_CAMPUSCENTER'!B18+'13072_COT5'!B18+'13073_PRESSER'!B18+'13083_MUMFORD'!B18+'13078_COT1'!B18+'13079_COT2'!B18+'13064_SCHRADER'!B18+'13066_ALLTHEWAY'!B18+'13056_DININGHALL'!B18+'13062_SCIENCEBLDG'!B18+'13074_APPLETREE'!B18+'13084_REDHOUSE'!B18+'13082_MACHOUSE'!B18+'13071_RANDOMSOUTH'!B18+'13075_ADMISSIONS'!B18+'13063_HOWLAND'!B18+'14766_WHITTEMORE'!B18+'13070_HAPPYVALLEY'!B18+'13113_CABIN2'!B18+'13137_CABIN1'!B18+'13061_PRESSERWEST'!B18+'13085_POTTERY'!B18</f>
        <v>4406.01</v>
      </c>
      <c r="C19" s="108">
        <f>'14747_NEWMAINT'!C18+'13112_PERRINE'!C18+'13057_THEATER'!C18++'13059_AUD'!C18+'13068_HENDRICKS'!C18+'13081_COT4'!C18+'13080_COT3'!C18+'13058_DALRYMPLE'!C18+'13065_HALFWAY'!C18+'13060_LIBRARY'!C18+'13067_RANDOMNORTH'!C18+'13077_HAPPYVALLEY'!C18+'13069_CAMPUSCENTER'!C18+'13072_COT5'!C18+'13073_PRESSER'!C18+'13083_MUMFORD'!C18+'13078_COT1'!C18+'13079_COT2'!C18+'13064_SCHRADER'!C18+'13066_ALLTHEWAY'!C18+'13056_DININGHALL'!C18+'13062_SCIENCEBLDG'!C18+'13074_APPLETREE'!C18+'13084_REDHOUSE'!C18+'13082_MACHOUSE'!C18+'13071_RANDOMSOUTH'!C18+'13075_ADMISSIONS'!C18+'13063_HOWLAND'!C18+'14766_WHITTEMORE'!C18+'13070_HAPPYVALLEY'!C18+'13113_CABIN2'!C18+'13137_CABIN1'!C18+'13061_PRESSERWEST'!C18+'13085_POTTERY'!C18</f>
        <v>8493.5</v>
      </c>
      <c r="D19" s="73">
        <f>'14747_NEWMAINT'!D18+'13112_PERRINE'!D18+'13057_THEATER'!D18++'13059_AUD'!D18+'13068_HENDRICKS'!D18+'13081_COT4'!D18+'13080_COT3'!D18+'13058_DALRYMPLE'!D18+'13065_HALFWAY'!D18+'13060_LIBRARY'!D18+'13067_RANDOMNORTH'!D18+'13077_HAPPYVALLEY'!D18+'13069_CAMPUSCENTER'!D18+'13072_COT5'!D18+'13073_PRESSER'!D18+'13083_MUMFORD'!D18+'13078_COT1'!D18+'13079_COT2'!D18+'13064_SCHRADER'!D18+'13066_ALLTHEWAY'!D18+'13056_DININGHALL'!D18+'13062_SCIENCEBLDG'!D18+'13074_APPLETREE'!D18+'13084_REDHOUSE'!D18+'13082_MACHOUSE'!D18+'13071_RANDOMSOUTH'!D18+'13075_ADMISSIONS'!D18+'13063_HOWLAND'!D18+'14766_WHITTEMORE'!D18+'13070_HAPPYVALLEY'!D18+'13113_CABIN2'!D18+'13137_CABIN1'!D18+'13061_PRESSERWEST'!D18+'13085_POTTERY'!D18+'13491_MAINT'!D18+'13645_MARLNORTH'!D18</f>
        <v>9654.26</v>
      </c>
      <c r="E19" s="107">
        <f>'14747_NEWMAINT'!E18+'13112_PERRINE'!E18+'13057_THEATER'!E18++'13059_AUD'!E18+'13068_HENDRICKS'!E18+'13081_COT4'!E18+'13080_COT3'!E18+'13058_DALRYMPLE'!E18+'13065_HALFWAY'!E18+'13060_LIBRARY'!E18+'13067_RANDOMNORTH'!E18+'13077_HAPPYVALLEY'!E18+'13069_CAMPUSCENTER'!E18+'13072_COT5'!E18+'13073_PRESSER'!E18+'13083_MUMFORD'!E18+'13078_COT1'!E18+'13079_COT2'!E18+'13064_SCHRADER'!E18+'13066_ALLTHEWAY'!E18+'13056_DININGHALL'!E18+'13062_SCIENCEBLDG'!E18+'13074_APPLETREE'!E18+'13084_REDHOUSE'!E18+'13082_MACHOUSE'!E18+'13071_RANDOMSOUTH'!E18+'13075_ADMISSIONS'!E18+'13063_HOWLAND'!E18+'14766_WHITTEMORE'!E18+'13070_HAPPYVALLEY'!E18+'13113_CABIN2'!E18+'13137_CABIN1'!E18+'13061_PRESSERWEST'!E18+'13085_POTTERY'!E18+'13491_MAINT'!E18+'13645_MARLNORTH'!E18</f>
        <v>10858.47</v>
      </c>
      <c r="F19" s="73">
        <f>'14747_NEWMAINT'!F18+'13112_PERRINE'!F18+'13057_THEATER'!F18++'13059_AUD'!F18+'13068_HENDRICKS'!F18+'13081_COT4'!F18+'13080_COT3'!F18+'13058_DALRYMPLE'!F18+'13065_HALFWAY'!F18+'13060_LIBRARY'!F18+'13067_RANDOMNORTH'!F18+'13077_HAPPYVALLEY'!F18+'13069_CAMPUSCENTER'!F18+'13072_COT5'!F18+'13073_PRESSER'!F18+'13083_MUMFORD'!F18+'13078_COT1'!F18+'13079_COT2'!F18+'13064_SCHRADER'!F18+'13066_ALLTHEWAY'!F18+'13056_DININGHALL'!F18+'13062_SCIENCEBLDG'!F18+'13074_APPLETREE'!F18+'13084_REDHOUSE'!F18+'13082_MACHOUSE'!F18+'13071_RANDOMSOUTH'!F18+'13075_ADMISSIONS'!F18+'13063_HOWLAND'!F18+'14766_WHITTEMORE'!F18+'13070_HAPPYVALLEY'!F18+'13113_CABIN2'!F18+'13137_CABIN1'!F18+'13061_PRESSERWEST'!F18+'13085_POTTERY'!F18+'13491_MAINT'!F18+'13645_MARLNORTH'!F18</f>
        <v>16502.429999999993</v>
      </c>
      <c r="G19" s="107">
        <f>'14747_NEWMAINT'!G18+'13112_PERRINE'!G18+'13057_THEATER'!G18++'13059_AUD'!G18+'13068_HENDRICKS'!G18+'13081_COT4'!G18+'13080_COT3'!G18+'13058_DALRYMPLE'!G18+'13065_HALFWAY'!G18+'13060_LIBRARY'!G18+'13067_RANDOMNORTH'!G18+'13077_HAPPYVALLEY'!G18+'13069_CAMPUSCENTER'!G18+'13072_COT5'!G18+'13073_PRESSER'!G18+'13083_MUMFORD'!G18+'13078_COT1'!G18+'13079_COT2'!G18+'13064_SCHRADER'!G18+'13066_ALLTHEWAY'!G18+'13056_DININGHALL'!G18+'13062_SCIENCEBLDG'!G18+'13074_APPLETREE'!G18+'13084_REDHOUSE'!G18+'13082_MACHOUSE'!G18+'13071_RANDOMSOUTH'!G18+'13075_ADMISSIONS'!G18+'13063_HOWLAND'!G18+'14766_WHITTEMORE'!G18+'13070_HAPPYVALLEY'!G18+'13113_CABIN2'!G18+'13137_CABIN1'!G18+'13061_PRESSERWEST'!G18+'13085_POTTERY'!G18+'13491_MAINT'!G18+'13645_MARLNORTH'!G18</f>
        <v>15128.800000000003</v>
      </c>
      <c r="H19" s="130">
        <f>'14747_NEWMAINT'!H18+'13112_PERRINE'!H18+'13057_THEATER'!H18++'13059_AUD'!H18+'13068_HENDRICKS'!H18+'13081_COT4'!H18+'13080_COT3'!H18+'13058_DALRYMPLE'!H18+'13065_HALFWAY'!H18+'13060_LIBRARY'!H18+'13067_RANDOMNORTH'!H18+'13077_HAPPYVALLEY'!H18+'13069_CAMPUSCENTER'!H18+'13072_COT5'!H18+'13073_PRESSER'!H18+'13083_MUMFORD'!H18+'13078_COT1'!H18+'13079_COT2'!H18+'13064_SCHRADER'!H18+'13066_ALLTHEWAY'!H18+'13056_DININGHALL'!H18+'13062_SCIENCEBLDG'!H18+'13074_APPLETREE'!H18+'13084_REDHOUSE'!H18+'13082_MACHOUSE'!H18+'13071_RANDOMSOUTH'!H18+'13075_ADMISSIONS'!H18+'13063_HOWLAND'!H18+'14766_WHITTEMORE'!H18+'13070_HAPPYVALLEY'!H18+'13113_CABIN2'!H18+'13137_CABIN1'!H18+'13061_PRESSERWEST'!H18+'13085_POTTERY'!H18+'13491_MAINT'!H18+'13645_MARLNORTH'!H18</f>
        <v>7999.320000000001</v>
      </c>
      <c r="I19" s="107">
        <f>'14747_NEWMAINT'!I18+'13112_PERRINE'!I18+'13057_THEATER'!I18++'13059_AUD'!I18+'13068_HENDRICKS'!I18+'13081_COT4'!I18+'13080_COT3'!I18+'13058_DALRYMPLE'!I18+'13065_HALFWAY'!I18+'13060_LIBRARY'!I18+'13067_RANDOMNORTH'!I18+'13077_HAPPYVALLEY'!I18+'13069_CAMPUSCENTER'!I18+'13072_COT5'!I18+'13073_PRESSER'!I18+'13083_MUMFORD'!I18+'13078_COT1'!I18+'13079_COT2'!I18+'13064_SCHRADER'!I18+'13066_ALLTHEWAY'!I18+'13056_DININGHALL'!I18+'13062_SCIENCEBLDG'!I18+'13074_APPLETREE'!I18+'13084_REDHOUSE'!I18+'13082_MACHOUSE'!I18+'13071_RANDOMSOUTH'!I18+'13075_ADMISSIONS'!I18+'13063_HOWLAND'!I18+'14766_WHITTEMORE'!I18+'13070_HAPPYVALLEY'!I18+'13113_CABIN2'!I18+'13137_CABIN1'!I18+'13061_PRESSERWEST'!I18+'13085_POTTERY'!I18+'13491_MAINT'!I18+'13645_MARLNORTH'!I18</f>
        <v>7677.499999999999</v>
      </c>
      <c r="J19" s="130">
        <f>'14747_NEWMAINT'!J18+'13112_PERRINE'!J18+'13057_THEATER'!J18+'13059_AUD'!J18+'13068_HENDRICKS'!J18+'13081_COT4'!J18+'13080_COT3'!J18+'13058_DALRYMPLE'!J18+'13065_HALFWAY'!J18+'13060_LIBRARY'!J18+'13067_RANDOMNORTH'!J18+'13077_HAPPYVALLEY'!J18+'13069_CAMPUSCENTER'!J18+'13072_COT5'!J18+'13073_PRESSER'!J18+'13083_MUMFORD'!J18+'13078_COT1'!J18+'13079_COT2'!J18+'13064_SCHRADER'!J18+'13066_ALLTHEWAY'!J18+'13056_DININGHALL'!J18+'13062_SCIENCEBLDG'!J18+'13074_APPLETREE'!J18+'13084_REDHOUSE'!J18+'13082_MACHOUSE'!J18+'13071_RANDOMSOUTH'!J18+'13075_ADMISSIONS'!J18+'13063_HOWLAND'!J18+'14766_WHITTEMORE'!J18+'13070_HAPPYVALLEY'!J18+'13113_CABIN2'!J18+'13137_CABIN1'!J18+'13061_PRESSERWEST'!J18+'13085_POTTERY'!J18+'13491_MAINT'!J18+'13645_MARLNORTH'!J18+'17736_OUTOFWAY'!B18</f>
        <v>12444.309999999998</v>
      </c>
      <c r="K19" s="107">
        <f>'14747_NEWMAINT'!K18+'13112_PERRINE'!K18+'13057_THEATER'!K18+'13059_AUD'!K18+'13068_HENDRICKS'!K18+'13081_COT4'!K18+'13080_COT3'!K18+'13058_DALRYMPLE'!K18+'13065_HALFWAY'!K18+'13060_LIBRARY'!K18+'13067_RANDOMNORTH'!K18+'13077_HAPPYVALLEY'!K18+'13069_CAMPUSCENTER'!K18+'13072_COT5'!K18+'13073_PRESSER'!K18+'13083_MUMFORD'!K18+'13078_COT1'!K18+'13079_COT2'!K18+'13064_SCHRADER'!K18+'13066_ALLTHEWAY'!K18+'13056_DININGHALL'!K18+'13062_SCIENCEBLDG'!K18+'13074_APPLETREE'!K18+'13084_REDHOUSE'!K18+'13082_MACHOUSE'!K18+'13071_RANDOMSOUTH'!K18+'13075_ADMISSIONS'!K18+'13063_HOWLAND'!K18+'14766_WHITTEMORE'!K18+'13070_HAPPYVALLEY'!K18+'13113_CABIN2'!K18+'13137_CABIN1'!K18+'13061_PRESSERWEST'!K18+'13085_POTTERY'!K18+'13491_MAINT'!K18+'13645_MARLNORTH'!K18+'17736_OUTOFWAY'!C18</f>
        <v>13447.710000000005</v>
      </c>
      <c r="L19" s="132">
        <f>'14747_NEWMAINT'!L18+'13112_PERRINE'!L18+'13057_THEATER'!L18++'13059_AUD'!L18+'13068_HENDRICKS'!L18+'13081_COT4'!L18+'13080_COT3'!L18+'13058_DALRYMPLE'!L18+'13065_HALFWAY'!L18+'13060_LIBRARY'!L18+'13067_RANDOMNORTH'!L18+'13077_HAPPYVALLEY'!L18+'13069_CAMPUSCENTER'!L18+'13072_COT5'!L18+'13073_PRESSER'!L18+'13083_MUMFORD'!L18+'13078_COT1'!L18+'13079_COT2'!L18+'13064_SCHRADER'!L18+'13066_ALLTHEWAY'!L18+'13056_DININGHALL'!L18+'13062_SCIENCEBLDG'!L18+'13074_APPLETREE'!L18+'13084_REDHOUSE'!L18+'13082_MACHOUSE'!L18+'13071_RANDOMSOUTH'!L18+'13075_ADMISSIONS'!L18+'13063_HOWLAND'!L18+'14766_WHITTEMORE'!L18+'13070_HAPPYVALLEY'!L18+'13113_CABIN2'!L18+'13137_CABIN1'!L18+'13061_PRESSERWEST'!L18+'13085_POTTERY'!L18+'13491_MAINT'!L18+'13645_MARLNORTH'!L18+'17736_OUTOFWAY'!D18</f>
        <v>18213.09</v>
      </c>
      <c r="M19" s="107">
        <f>'14747_NEWMAINT'!M18+'13112_PERRINE'!M18+'13057_THEATER'!M18++'13059_AUD'!M18+'13068_HENDRICKS'!M18+'13081_COT4'!M18+'13080_COT3'!M18+'13058_DALRYMPLE'!M18+'13065_HALFWAY'!M18+'13060_LIBRARY'!M18+'13067_RANDOMNORTH'!M18+'13077_HAPPYVALLEY'!M18+'13069_CAMPUSCENTER'!M18+'13072_COT5'!M18+'13073_PRESSER'!M18+'13083_MUMFORD'!M18+'13078_COT1'!M18+'13079_COT2'!M18+'13064_SCHRADER'!M18+'13066_ALLTHEWAY'!M18+'13056_DININGHALL'!M18+'13062_SCIENCEBLDG'!M18+'13074_APPLETREE'!M18+'13084_REDHOUSE'!M18+'13082_MACHOUSE'!M18+'13071_RANDOMSOUTH'!M18+'13075_ADMISSIONS'!M18+'13063_HOWLAND'!M18+'14766_WHITTEMORE'!M18+'13070_HAPPYVALLEY'!M18+'13113_CABIN2'!M18+'13137_CABIN1'!M18+'13061_PRESSERWEST'!M18+'13085_POTTERY'!M18+'13491_MAINT'!M18+'13645_MARLNORTH'!M18</f>
        <v>16189.4</v>
      </c>
      <c r="N19" s="132">
        <f>'14747_NEWMAINT'!N18+'13112_PERRINE'!N18+'13057_THEATER'!N18++'13059_AUD'!N18+'13068_HENDRICKS'!N18+'13081_COT4'!N18+'13080_COT3'!N18+'13058_DALRYMPLE'!N18+'13065_HALFWAY'!N18+'13060_LIBRARY'!N18+'13067_RANDOMNORTH'!N18+'13077_HAPPYVALLEY'!N18+'13069_CAMPUSCENTER'!N18+'13072_COT5'!N18+'13073_PRESSER'!N18+'13083_MUMFORD'!N18+'13078_COT1'!N18+'13079_COT2'!N18+'13064_SCHRADER'!N18+'13066_ALLTHEWAY'!N18+'13056_DININGHALL'!N18+'13062_SCIENCEBLDG'!N18+'13074_APPLETREE'!N18+'13084_REDHOUSE'!N18+'13082_MACHOUSE'!N18+'13071_RANDOMSOUTH'!N18+'13075_ADMISSIONS'!N18+'13063_HOWLAND'!N18+'14766_WHITTEMORE'!N18+'13070_HAPPYVALLEY'!N18+'13113_CABIN2'!N18+'13137_CABIN1'!N18+'13061_PRESSERWEST'!N18+'13085_POTTERY'!N18+'13491_MAINT'!N18+'13645_MARLNORTH'!N18+'17736_OUTOFWAY'!F18</f>
        <v>23291.790000000005</v>
      </c>
      <c r="O19" s="107">
        <f>'14747_NEWMAINT'!O18+'13112_PERRINE'!O18+'13057_THEATER'!O18++'13059_AUD'!O18+'13068_HENDRICKS'!O18+'13081_COT4'!O18+'13080_COT3'!O18+'13058_DALRYMPLE'!O18+'13065_HALFWAY'!O18+'13060_LIBRARY'!O18+'13067_RANDOMNORTH'!O18+'13077_HAPPYVALLEY'!O18+'13069_CAMPUSCENTER'!O18+'13072_COT5'!O18+'13073_PRESSER'!O18+'13083_MUMFORD'!O18+'13078_COT1'!O18+'13079_COT2'!O18+'13064_SCHRADER'!O18+'13066_ALLTHEWAY'!O18+'13056_DININGHALL'!O18+'13062_SCIENCEBLDG'!O18+'13074_APPLETREE'!O18+'13084_REDHOUSE'!O18+'13082_MACHOUSE'!O18+'13071_RANDOMSOUTH'!O18+'13075_ADMISSIONS'!O18+'13063_HOWLAND'!O18+'14766_WHITTEMORE'!O18+'13070_HAPPYVALLEY'!O18+'13113_CABIN2'!O18+'13137_CABIN1'!O18+'13061_PRESSERWEST'!O18+'13085_POTTERY'!O18+'13491_MAINT'!O18+'13645_MARLNORTH'!O18</f>
        <v>14087.6</v>
      </c>
      <c r="P19" s="132">
        <f>'13056_DININGHALL'!P18+'13057_THEATER'!P18+'13058_DALRYMPLE'!P18+'13059_AUD'!P18+'13060_LIBRARY'!P18+'13061_PRESSERWEST'!P18+'13062_SCIENCEBLDG'!P18+'13063_HOWLAND'!P18+'13064_SCHRADER'!P18+'13065_HALFWAY'!P18+'13066_ALLTHEWAY'!P18+'13067_RANDOMNORTH'!P18+'13068_HENDRICKS'!P18+'13069_CAMPUSCENTER'!P18+'13070_HAPPYVALLEY'!P18+'13071_RANDOMSOUTH'!P18+'13072_COT5'!P18+'13074_APPLETREE'!P18+'13075_ADMISSIONS'!P18+'13077_HAPPYVALLEY'!P18+'13078_COT1'!P18+'13079_COT2'!P18+'13080_COT3'!P18+'13081_COT4'!P18+'13082_MACHOUSE'!P18+'13083_MUMFORD'!P18+'13084_REDHOUSE'!P18+'13085_POTTERY'!P18+'13112_PERRINE'!P18+'13113_CABIN2'!P18+'13137_CABIN1'!P18+'13491_MAINT'!P18+'13645_MARLNORTH'!P18+'14747_NEWMAINT'!P18+'14766_WHITTEMORE'!P18+'17736_OUTOFWAY'!H18+'21054_COT6'!B18</f>
        <v>32682.599999999995</v>
      </c>
      <c r="Q19" s="174">
        <f>'13056_DININGHALL'!Q18+'13057_THEATER'!Q18+'13058_DALRYMPLE'!Q18+'13059_AUD'!Q18+'13060_LIBRARY'!Q18+'13061_PRESSERWEST'!Q18+'13062_SCIENCEBLDG'!Q18+'13063_HOWLAND'!Q18+'13064_SCHRADER'!Q18+'13065_HALFWAY'!Q18+'13066_ALLTHEWAY'!Q18+'13067_RANDOMNORTH'!Q18+'13068_HENDRICKS'!Q18+'13069_CAMPUSCENTER'!Q18+'13070_HAPPYVALLEY'!Q18+'13071_RANDOMSOUTH'!Q18+'13072_COT5'!Q18+'13074_APPLETREE'!Q18+'13075_ADMISSIONS'!Q18+'13077_HAPPYVALLEY'!Q18+'13078_COT1'!Q18+'13079_COT2'!Q18+'13080_COT3'!Q18+'13081_COT4'!Q18+'13082_MACHOUSE'!Q18+'13083_MUMFORD'!Q18+'13084_REDHOUSE'!Q18+'13085_POTTERY'!Q18+'13112_PERRINE'!Q18+'13113_CABIN2'!Q18+'13137_CABIN1'!Q18+'13491_MAINT'!Q18+'13645_MARLNORTH'!Q18+'14747_NEWMAINT'!Q18+'14766_WHITTEMORE'!Q18+'17736_OUTOFWAY'!I18+'21054_COT6'!C18</f>
        <v>15572.200000000003</v>
      </c>
      <c r="R19" s="132">
        <f>'14747_NEWMAINT'!R18+'13112_PERRINE'!R18+'13057_THEATER'!R18++'13059_AUD'!R18+'13068_HENDRICKS'!R18+'13081_COT4'!R18+'13080_COT3'!R18+'13058_DALRYMPLE'!R18+'13065_HALFWAY'!R18+'13060_LIBRARY'!R18+'13067_RANDOMNORTH'!R18+'13077_HAPPYVALLEY'!R18+'13069_CAMPUSCENTER'!R18+'13072_COT5'!R18+'13073_PRESSER'!R18+'13083_MUMFORD'!R18+'13078_COT1'!R18+'13079_COT2'!R18+'13064_SCHRADER'!R18+'13066_ALLTHEWAY'!R18+'13056_DININGHALL'!R18+'13062_SCIENCEBLDG'!R18+'13074_APPLETREE'!R18+'13084_REDHOUSE'!R18+'13082_MACHOUSE'!R18+'13071_RANDOMSOUTH'!R18+'13075_ADMISSIONS'!R18+'13063_HOWLAND'!R18+'14766_WHITTEMORE'!R18+'13070_HAPPYVALLEY'!R18+'13113_CABIN2'!R18+'13137_CABIN1'!R18+'13061_PRESSERWEST'!R18+'13085_POTTERY'!R18+'13491_MAINT'!R18+'13645_MARLNORTH'!R18+'17736_OUTOFWAY'!J18</f>
        <v>28202.760000000006</v>
      </c>
      <c r="S19" s="107">
        <f>'14747_NEWMAINT'!S18+'13112_PERRINE'!S18+'13057_THEATER'!S18++'13059_AUD'!S18+'13068_HENDRICKS'!S18+'13081_COT4'!S18+'13080_COT3'!S18+'13058_DALRYMPLE'!S18+'13065_HALFWAY'!S18+'13060_LIBRARY'!S18+'13067_RANDOMNORTH'!S18+'13077_HAPPYVALLEY'!S18+'13069_CAMPUSCENTER'!S18+'13072_COT5'!S18+'13073_PRESSER'!S18+'13083_MUMFORD'!S18+'13078_COT1'!S18+'13079_COT2'!S18+'13064_SCHRADER'!S18+'13066_ALLTHEWAY'!S18+'13056_DININGHALL'!S18+'13062_SCIENCEBLDG'!S18+'13074_APPLETREE'!S18+'13084_REDHOUSE'!S18+'13082_MACHOUSE'!S18+'13071_RANDOMSOUTH'!S18+'13075_ADMISSIONS'!S18+'13063_HOWLAND'!S18+'14766_WHITTEMORE'!S18+'13070_HAPPYVALLEY'!S18+'13113_CABIN2'!S18+'13137_CABIN1'!S18+'13061_PRESSERWEST'!S18+'13085_POTTERY'!S18+'13491_MAINT'!S18+'13645_MARLNORTH'!S18</f>
        <v>11168.099999999999</v>
      </c>
      <c r="T19" s="132">
        <f>'14747_NEWMAINT'!T18+'13112_PERRINE'!T18+'13057_THEATER'!T18++'13059_AUD'!T18+'13068_HENDRICKS'!T18+'13081_COT4'!T18+'13080_COT3'!T18+'13058_DALRYMPLE'!T18+'13065_HALFWAY'!T18+'13060_LIBRARY'!T18+'13067_RANDOMNORTH'!T18+'13077_HAPPYVALLEY'!T18+'13069_CAMPUSCENTER'!T18+'13072_COT5'!T18+'13073_PRESSER'!T18+'13083_MUMFORD'!T18+'13078_COT1'!T18+'13079_COT2'!T18+'13064_SCHRADER'!T18+'13066_ALLTHEWAY'!T18+'13056_DININGHALL'!T18+'13062_SCIENCEBLDG'!T18+'13074_APPLETREE'!T18+'13084_REDHOUSE'!T18+'13082_MACHOUSE'!T18+'13071_RANDOMSOUTH'!T18+'13075_ADMISSIONS'!T18+'13063_HOWLAND'!T18+'14766_WHITTEMORE'!T18+'13070_HAPPYVALLEY'!T18+'13113_CABIN2'!T18+'13137_CABIN1'!T18+'13061_PRESSERWEST'!T18+'13085_POTTERY'!T18+'13491_MAINT'!T18+'13645_MARLNORTH'!T18+'17736_OUTOFWAY'!L18</f>
        <v>0</v>
      </c>
      <c r="U19" s="107">
        <f>'14747_NEWMAINT'!U18+'13112_PERRINE'!U18+'13057_THEATER'!U18++'13059_AUD'!U18+'13068_HENDRICKS'!U18+'13081_COT4'!U18+'13080_COT3'!U18+'13058_DALRYMPLE'!U18+'13065_HALFWAY'!U18+'13060_LIBRARY'!U18+'13067_RANDOMNORTH'!U18+'13077_HAPPYVALLEY'!U18+'13069_CAMPUSCENTER'!U18+'13072_COT5'!U18+'13073_PRESSER'!U18+'13083_MUMFORD'!U18+'13078_COT1'!U18+'13079_COT2'!U18+'13064_SCHRADER'!U18+'13066_ALLTHEWAY'!U18+'13056_DININGHALL'!U18+'13062_SCIENCEBLDG'!U18+'13074_APPLETREE'!U18+'13084_REDHOUSE'!U18+'13082_MACHOUSE'!U18+'13071_RANDOMSOUTH'!U18+'13075_ADMISSIONS'!U18+'13063_HOWLAND'!U18+'14766_WHITTEMORE'!U18+'13070_HAPPYVALLEY'!U18+'13113_CABIN2'!U18+'13137_CABIN1'!U18+'13061_PRESSERWEST'!U18+'13085_POTTERY'!U18+'13491_MAINT'!U18+'13645_MARLNORTH'!U18</f>
        <v>0</v>
      </c>
    </row>
    <row r="20" spans="1:21" ht="15.75" thickBot="1">
      <c r="A20" s="2" t="s">
        <v>21</v>
      </c>
      <c r="B20" s="67">
        <f aca="true" t="shared" si="0" ref="B20:G20">SUM(B8:B19)</f>
        <v>12894.91</v>
      </c>
      <c r="C20" s="68">
        <f t="shared" si="0"/>
        <v>23861.999999999996</v>
      </c>
      <c r="D20" s="67">
        <f t="shared" si="0"/>
        <v>49808.93000000001</v>
      </c>
      <c r="E20" s="71">
        <f>SUM(E8:E19)</f>
        <v>77498.57</v>
      </c>
      <c r="F20" s="67">
        <f t="shared" si="0"/>
        <v>100842.69</v>
      </c>
      <c r="G20" s="71">
        <f t="shared" si="0"/>
        <v>95791.01999999999</v>
      </c>
      <c r="H20" s="67">
        <f aca="true" t="shared" si="1" ref="H20:M20">SUM(H8:H19)</f>
        <v>88784.61000000002</v>
      </c>
      <c r="I20" s="71">
        <f t="shared" si="1"/>
        <v>84598.55</v>
      </c>
      <c r="J20" s="67">
        <f t="shared" si="1"/>
        <v>90950.15819999999</v>
      </c>
      <c r="K20" s="71">
        <f t="shared" si="1"/>
        <v>90784.75</v>
      </c>
      <c r="L20" s="93">
        <f t="shared" si="1"/>
        <v>98644.87999999999</v>
      </c>
      <c r="M20" s="71">
        <f t="shared" si="1"/>
        <v>96138.55</v>
      </c>
      <c r="N20" s="93">
        <f aca="true" t="shared" si="2" ref="N20:S20">SUM(N8:N19)</f>
        <v>120205.79000000001</v>
      </c>
      <c r="O20" s="71">
        <f t="shared" si="2"/>
        <v>93669.63000000002</v>
      </c>
      <c r="P20" s="93">
        <f t="shared" si="2"/>
        <v>162064.95</v>
      </c>
      <c r="Q20" s="71">
        <f t="shared" si="2"/>
        <v>91413.73</v>
      </c>
      <c r="R20" s="93">
        <f t="shared" si="2"/>
        <v>189217.39000000004</v>
      </c>
      <c r="S20" s="71">
        <f t="shared" si="2"/>
        <v>82827.29999999999</v>
      </c>
      <c r="T20" s="93">
        <f>SUM(T8:T19)</f>
        <v>113892.45999999999</v>
      </c>
      <c r="U20" s="71">
        <f>SUM(U8:U19)</f>
        <v>45338.100000000006</v>
      </c>
    </row>
    <row r="22" spans="1:3" ht="15">
      <c r="A22" s="2" t="s">
        <v>1</v>
      </c>
      <c r="B22" s="151" t="s">
        <v>36</v>
      </c>
      <c r="C22" s="152" t="s">
        <v>37</v>
      </c>
    </row>
    <row r="23" spans="1:3" ht="15">
      <c r="A23" s="70">
        <v>1998</v>
      </c>
      <c r="B23" s="109">
        <f>C20</f>
        <v>23861.999999999996</v>
      </c>
      <c r="C23" s="8">
        <f>B20</f>
        <v>12894.91</v>
      </c>
    </row>
    <row r="24" spans="1:3" ht="15">
      <c r="A24" s="70">
        <v>1999</v>
      </c>
      <c r="B24" s="109">
        <f>E20</f>
        <v>77498.57</v>
      </c>
      <c r="C24" s="8">
        <f>D20</f>
        <v>49808.93000000001</v>
      </c>
    </row>
    <row r="25" spans="1:3" ht="15">
      <c r="A25" s="70">
        <v>2000</v>
      </c>
      <c r="B25" s="109">
        <f>G20</f>
        <v>95791.01999999999</v>
      </c>
      <c r="C25" s="8">
        <f>F20</f>
        <v>100842.69</v>
      </c>
    </row>
    <row r="26" spans="1:3" ht="15">
      <c r="A26" s="70">
        <v>2001</v>
      </c>
      <c r="B26" s="109">
        <f>I20</f>
        <v>84598.55</v>
      </c>
      <c r="C26" s="8">
        <f>H20</f>
        <v>88784.61000000002</v>
      </c>
    </row>
    <row r="27" spans="1:3" ht="15">
      <c r="A27" s="70">
        <v>2002</v>
      </c>
      <c r="B27" s="109">
        <f>K20</f>
        <v>90784.75</v>
      </c>
      <c r="C27" s="8">
        <f>J20</f>
        <v>90950.15819999999</v>
      </c>
    </row>
    <row r="28" spans="1:3" ht="15">
      <c r="A28" s="70">
        <v>2003</v>
      </c>
      <c r="B28" s="109">
        <f>M20</f>
        <v>96138.55</v>
      </c>
      <c r="C28" s="8">
        <f>L20</f>
        <v>98644.87999999999</v>
      </c>
    </row>
    <row r="29" spans="1:2" ht="15">
      <c r="A29" s="70" t="s">
        <v>26</v>
      </c>
      <c r="B29" s="7"/>
    </row>
    <row r="30" ht="15">
      <c r="A30" s="70" t="s">
        <v>26</v>
      </c>
    </row>
    <row r="31" ht="15">
      <c r="A31" s="70"/>
    </row>
    <row r="32" ht="15">
      <c r="A32" s="70" t="s">
        <v>26</v>
      </c>
    </row>
  </sheetData>
  <printOptions gridLines="1"/>
  <pageMargins left="0.75" right="0.75" top="1" bottom="1" header="0.5" footer="0.5"/>
  <pageSetup horizontalDpi="180" verticalDpi="180" orientation="portrait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19"/>
  <sheetViews>
    <sheetView zoomScale="75" zoomScaleNormal="75" workbookViewId="0" topLeftCell="A1">
      <selection activeCell="A1" sqref="A1"/>
    </sheetView>
  </sheetViews>
  <sheetFormatPr defaultColWidth="11.5546875" defaultRowHeight="15"/>
  <cols>
    <col min="1" max="1" width="13.6640625" style="3" bestFit="1" customWidth="1"/>
    <col min="2" max="2" width="8.88671875" style="8" customWidth="1"/>
    <col min="3" max="3" width="8.6640625" style="0" customWidth="1"/>
    <col min="4" max="4" width="8.88671875" style="8" customWidth="1"/>
    <col min="5" max="5" width="8.6640625" style="0" customWidth="1"/>
    <col min="6" max="6" width="9.4453125" style="0" customWidth="1"/>
    <col min="7" max="7" width="8.6640625" style="0" customWidth="1"/>
    <col min="8" max="8" width="10.3359375" style="111" bestFit="1" customWidth="1"/>
    <col min="9" max="16384" width="8.6640625" style="0" customWidth="1"/>
  </cols>
  <sheetData>
    <row r="1" ht="15">
      <c r="A1" s="153" t="s">
        <v>30</v>
      </c>
    </row>
    <row r="2" ht="15.75" thickBot="1"/>
    <row r="3" spans="1:15" s="13" customFormat="1" ht="16.5">
      <c r="A3" s="156"/>
      <c r="B3" s="45">
        <v>1998</v>
      </c>
      <c r="C3" s="101"/>
      <c r="D3" s="26">
        <v>1999</v>
      </c>
      <c r="E3" s="28"/>
      <c r="F3" s="26">
        <v>2000</v>
      </c>
      <c r="G3" s="27"/>
      <c r="H3" s="120">
        <v>2001</v>
      </c>
      <c r="I3" s="101"/>
      <c r="J3" s="120" t="s">
        <v>33</v>
      </c>
      <c r="K3" s="101"/>
      <c r="L3" s="88">
        <v>2003</v>
      </c>
      <c r="M3" s="46"/>
      <c r="N3" s="88">
        <v>2004</v>
      </c>
      <c r="O3" s="46"/>
    </row>
    <row r="4" spans="1:15" s="5" customFormat="1" ht="15">
      <c r="A4" s="4"/>
      <c r="B4" s="32" t="s">
        <v>5</v>
      </c>
      <c r="C4" s="34"/>
      <c r="D4" s="29" t="s">
        <v>5</v>
      </c>
      <c r="E4" s="31"/>
      <c r="F4" s="29" t="s">
        <v>5</v>
      </c>
      <c r="G4" s="30"/>
      <c r="H4" s="112" t="s">
        <v>5</v>
      </c>
      <c r="I4" s="34"/>
      <c r="J4" s="112" t="s">
        <v>5</v>
      </c>
      <c r="K4" s="34"/>
      <c r="L4" s="81" t="s">
        <v>5</v>
      </c>
      <c r="M4" s="34"/>
      <c r="N4" s="81" t="s">
        <v>5</v>
      </c>
      <c r="O4" s="34"/>
    </row>
    <row r="5" spans="1:15" s="5" customFormat="1" ht="15">
      <c r="A5" s="4" t="s">
        <v>22</v>
      </c>
      <c r="B5" s="32" t="s">
        <v>8</v>
      </c>
      <c r="C5" s="34" t="s">
        <v>7</v>
      </c>
      <c r="D5" s="29" t="s">
        <v>8</v>
      </c>
      <c r="E5" s="31" t="s">
        <v>7</v>
      </c>
      <c r="F5" s="29" t="s">
        <v>8</v>
      </c>
      <c r="G5" s="30" t="s">
        <v>7</v>
      </c>
      <c r="H5" s="112" t="s">
        <v>8</v>
      </c>
      <c r="I5" s="34" t="s">
        <v>7</v>
      </c>
      <c r="J5" s="112" t="s">
        <v>8</v>
      </c>
      <c r="K5" s="34" t="s">
        <v>7</v>
      </c>
      <c r="L5" s="81" t="s">
        <v>8</v>
      </c>
      <c r="M5" s="34" t="s">
        <v>7</v>
      </c>
      <c r="N5" s="81" t="s">
        <v>8</v>
      </c>
      <c r="O5" s="34" t="s">
        <v>7</v>
      </c>
    </row>
    <row r="6" spans="1:15" s="5" customFormat="1" ht="15">
      <c r="A6" s="4"/>
      <c r="B6" s="32"/>
      <c r="C6" s="34"/>
      <c r="D6" s="32"/>
      <c r="E6" s="34"/>
      <c r="F6" s="32"/>
      <c r="G6" s="33"/>
      <c r="H6" s="112"/>
      <c r="I6" s="34"/>
      <c r="J6" s="112"/>
      <c r="K6" s="34"/>
      <c r="L6" s="81"/>
      <c r="M6" s="34"/>
      <c r="N6" s="81"/>
      <c r="O6" s="34"/>
    </row>
    <row r="7" spans="1:15" ht="15">
      <c r="A7" s="2" t="s">
        <v>9</v>
      </c>
      <c r="B7" s="35"/>
      <c r="C7" s="43"/>
      <c r="D7" s="38">
        <v>25.01</v>
      </c>
      <c r="E7" s="41">
        <v>46.8</v>
      </c>
      <c r="F7" s="38">
        <v>117.7</v>
      </c>
      <c r="G7" s="65">
        <v>107.1</v>
      </c>
      <c r="H7" s="113">
        <v>430.8</v>
      </c>
      <c r="I7" s="83">
        <v>433.4</v>
      </c>
      <c r="J7" s="113">
        <v>66.812</v>
      </c>
      <c r="K7" s="83">
        <v>64.3</v>
      </c>
      <c r="L7" s="38">
        <v>1.69</v>
      </c>
      <c r="M7" s="43">
        <v>1.8</v>
      </c>
      <c r="N7" s="38"/>
      <c r="O7" s="43"/>
    </row>
    <row r="8" spans="1:15" ht="15">
      <c r="A8" s="2" t="s">
        <v>10</v>
      </c>
      <c r="B8" s="35"/>
      <c r="C8" s="43"/>
      <c r="D8" s="38"/>
      <c r="E8" s="41"/>
      <c r="F8" s="38">
        <v>116.07</v>
      </c>
      <c r="G8" s="65">
        <v>118.6</v>
      </c>
      <c r="H8" s="114">
        <v>144.43</v>
      </c>
      <c r="I8" s="43">
        <v>145.3</v>
      </c>
      <c r="J8" s="114">
        <v>65.04</v>
      </c>
      <c r="K8" s="43">
        <v>62.6</v>
      </c>
      <c r="L8" s="38"/>
      <c r="M8" s="43"/>
      <c r="N8" s="38"/>
      <c r="O8" s="43"/>
    </row>
    <row r="9" spans="1:15" ht="15">
      <c r="A9" s="2" t="s">
        <v>11</v>
      </c>
      <c r="B9" s="35"/>
      <c r="C9" s="43"/>
      <c r="D9" s="38">
        <v>84.1</v>
      </c>
      <c r="E9" s="41">
        <v>150.6</v>
      </c>
      <c r="F9" s="38">
        <v>0</v>
      </c>
      <c r="G9" s="65">
        <v>0</v>
      </c>
      <c r="H9" s="113">
        <v>1114.07</v>
      </c>
      <c r="I9" s="83">
        <v>1120.8</v>
      </c>
      <c r="J9" s="113">
        <v>86.86</v>
      </c>
      <c r="K9" s="83">
        <v>83.6</v>
      </c>
      <c r="L9" s="38"/>
      <c r="M9" s="43"/>
      <c r="N9" s="38"/>
      <c r="O9" s="43"/>
    </row>
    <row r="10" spans="1:15" ht="15">
      <c r="A10" s="2" t="s">
        <v>23</v>
      </c>
      <c r="B10" s="35"/>
      <c r="C10" s="43"/>
      <c r="D10" s="38"/>
      <c r="E10" s="41"/>
      <c r="F10" s="38">
        <v>0</v>
      </c>
      <c r="G10" s="65">
        <v>0</v>
      </c>
      <c r="H10" s="114"/>
      <c r="I10" s="43"/>
      <c r="J10" s="114">
        <v>79.38</v>
      </c>
      <c r="K10" s="43">
        <v>76.4</v>
      </c>
      <c r="L10" s="38"/>
      <c r="M10" s="43"/>
      <c r="N10" s="38"/>
      <c r="O10" s="43"/>
    </row>
    <row r="11" spans="1:15" ht="15">
      <c r="A11" s="2" t="s">
        <v>13</v>
      </c>
      <c r="B11" s="35"/>
      <c r="C11" s="43"/>
      <c r="D11" s="38"/>
      <c r="E11" s="41"/>
      <c r="F11" s="38">
        <v>100.48</v>
      </c>
      <c r="G11" s="65">
        <v>106.4</v>
      </c>
      <c r="H11" s="114"/>
      <c r="I11" s="43"/>
      <c r="J11" s="114">
        <v>70.44</v>
      </c>
      <c r="K11" s="43">
        <v>67.8</v>
      </c>
      <c r="L11" s="38"/>
      <c r="M11" s="43"/>
      <c r="N11" s="38"/>
      <c r="O11" s="43"/>
    </row>
    <row r="12" spans="1:15" ht="15">
      <c r="A12" s="2" t="s">
        <v>14</v>
      </c>
      <c r="B12" s="35"/>
      <c r="C12" s="43"/>
      <c r="D12" s="38">
        <v>52.85</v>
      </c>
      <c r="E12" s="41">
        <v>93</v>
      </c>
      <c r="F12" s="38">
        <v>14.32</v>
      </c>
      <c r="G12" s="65">
        <v>15.1</v>
      </c>
      <c r="H12" s="114">
        <v>23.79</v>
      </c>
      <c r="I12" s="43">
        <v>22.9</v>
      </c>
      <c r="J12" s="114">
        <v>15.9</v>
      </c>
      <c r="K12" s="43">
        <v>15.3</v>
      </c>
      <c r="L12" s="38"/>
      <c r="M12" s="43"/>
      <c r="N12" s="38"/>
      <c r="O12" s="43"/>
    </row>
    <row r="13" spans="1:15" ht="15">
      <c r="A13" s="2" t="s">
        <v>15</v>
      </c>
      <c r="B13" s="35"/>
      <c r="C13" s="43"/>
      <c r="D13" s="38"/>
      <c r="E13" s="41"/>
      <c r="F13" s="38">
        <v>0</v>
      </c>
      <c r="G13" s="65">
        <v>0</v>
      </c>
      <c r="H13" s="114"/>
      <c r="I13" s="43"/>
      <c r="J13" s="114">
        <v>0</v>
      </c>
      <c r="K13" s="43">
        <v>0</v>
      </c>
      <c r="L13" s="38"/>
      <c r="M13" s="43"/>
      <c r="N13" s="38"/>
      <c r="O13" s="43"/>
    </row>
    <row r="14" spans="1:15" ht="15">
      <c r="A14" s="2" t="s">
        <v>16</v>
      </c>
      <c r="B14" s="35"/>
      <c r="C14" s="43"/>
      <c r="D14" s="38">
        <v>19.81</v>
      </c>
      <c r="E14" s="41">
        <v>27</v>
      </c>
      <c r="F14" s="38">
        <v>21.87</v>
      </c>
      <c r="G14" s="65">
        <v>22</v>
      </c>
      <c r="H14" s="114">
        <v>116.06</v>
      </c>
      <c r="I14" s="43">
        <v>111.7</v>
      </c>
      <c r="J14" s="114">
        <v>30.61</v>
      </c>
      <c r="K14" s="43">
        <v>32.6</v>
      </c>
      <c r="L14" s="38"/>
      <c r="M14" s="43"/>
      <c r="N14" s="38"/>
      <c r="O14" s="43"/>
    </row>
    <row r="15" spans="1:15" ht="15">
      <c r="A15" s="2" t="s">
        <v>17</v>
      </c>
      <c r="B15" s="35"/>
      <c r="C15" s="43"/>
      <c r="D15" s="38"/>
      <c r="E15" s="41"/>
      <c r="F15" s="38">
        <v>0</v>
      </c>
      <c r="G15" s="65">
        <v>0</v>
      </c>
      <c r="H15" s="114"/>
      <c r="I15" s="43"/>
      <c r="J15" s="114">
        <v>0</v>
      </c>
      <c r="K15" s="43">
        <v>0</v>
      </c>
      <c r="L15" s="38"/>
      <c r="M15" s="43"/>
      <c r="N15" s="38"/>
      <c r="O15" s="43"/>
    </row>
    <row r="16" spans="1:15" ht="15">
      <c r="A16" s="2" t="s">
        <v>18</v>
      </c>
      <c r="B16" s="35"/>
      <c r="C16" s="43"/>
      <c r="D16" s="38"/>
      <c r="E16" s="41"/>
      <c r="F16" s="38">
        <v>0</v>
      </c>
      <c r="G16" s="65">
        <v>0</v>
      </c>
      <c r="H16" s="114"/>
      <c r="I16" s="43"/>
      <c r="J16" s="114">
        <v>0</v>
      </c>
      <c r="K16" s="43">
        <v>0</v>
      </c>
      <c r="L16" s="38"/>
      <c r="M16" s="43"/>
      <c r="N16" s="38"/>
      <c r="O16" s="43"/>
    </row>
    <row r="17" spans="1:15" ht="15">
      <c r="A17" s="2" t="s">
        <v>19</v>
      </c>
      <c r="B17" s="35">
        <v>368.46</v>
      </c>
      <c r="C17" s="43">
        <v>663.4</v>
      </c>
      <c r="D17" s="38">
        <v>71.75</v>
      </c>
      <c r="E17" s="41">
        <v>90.3</v>
      </c>
      <c r="F17" s="38">
        <v>518.37</v>
      </c>
      <c r="G17" s="65">
        <v>521.5</v>
      </c>
      <c r="H17" s="114">
        <v>103.69</v>
      </c>
      <c r="I17" s="43">
        <v>99.8</v>
      </c>
      <c r="J17" s="114">
        <v>29.86</v>
      </c>
      <c r="K17" s="43">
        <v>31.8</v>
      </c>
      <c r="L17" s="38"/>
      <c r="M17" s="43"/>
      <c r="N17" s="38"/>
      <c r="O17" s="43"/>
    </row>
    <row r="18" spans="1:15" ht="15.75" thickBot="1">
      <c r="A18" s="2" t="s">
        <v>20</v>
      </c>
      <c r="B18" s="99">
        <v>60.15</v>
      </c>
      <c r="C18" s="86">
        <v>120.3</v>
      </c>
      <c r="D18" s="38">
        <v>0</v>
      </c>
      <c r="E18" s="41">
        <v>0</v>
      </c>
      <c r="F18" s="38">
        <v>111.53</v>
      </c>
      <c r="G18" s="65">
        <v>112.2</v>
      </c>
      <c r="H18" s="116">
        <v>359.59</v>
      </c>
      <c r="I18" s="86">
        <v>346.1</v>
      </c>
      <c r="J18" s="116">
        <v>13.15</v>
      </c>
      <c r="K18" s="86">
        <v>14</v>
      </c>
      <c r="L18" s="38"/>
      <c r="M18" s="43"/>
      <c r="N18" s="38"/>
      <c r="O18" s="43"/>
    </row>
    <row r="19" spans="1:15" s="1" customFormat="1" ht="15.75" thickBot="1">
      <c r="A19" s="2" t="s">
        <v>21</v>
      </c>
      <c r="B19" s="37">
        <f aca="true" t="shared" si="0" ref="B19:G19">SUM(B7:B18)</f>
        <v>428.60999999999996</v>
      </c>
      <c r="C19" s="52">
        <f t="shared" si="0"/>
        <v>783.6999999999999</v>
      </c>
      <c r="D19" s="93">
        <f t="shared" si="0"/>
        <v>253.52</v>
      </c>
      <c r="E19" s="94">
        <f t="shared" si="0"/>
        <v>407.7</v>
      </c>
      <c r="F19" s="93">
        <f t="shared" si="0"/>
        <v>1000.3399999999999</v>
      </c>
      <c r="G19" s="94">
        <f t="shared" si="0"/>
        <v>1002.9000000000001</v>
      </c>
      <c r="H19" s="119">
        <f aca="true" t="shared" si="1" ref="H19:M19">SUM(H7:H18)</f>
        <v>2292.43</v>
      </c>
      <c r="I19" s="87">
        <f t="shared" si="1"/>
        <v>2280</v>
      </c>
      <c r="J19" s="119">
        <f t="shared" si="1"/>
        <v>458.05199999999996</v>
      </c>
      <c r="K19" s="87">
        <f t="shared" si="1"/>
        <v>448.40000000000003</v>
      </c>
      <c r="L19" s="133">
        <f t="shared" si="1"/>
        <v>1.69</v>
      </c>
      <c r="M19" s="89">
        <f t="shared" si="1"/>
        <v>1.8</v>
      </c>
      <c r="N19" s="133">
        <f>SUM(N7:N18)</f>
        <v>0</v>
      </c>
      <c r="O19" s="89">
        <f>SUM(O7:O18)</f>
        <v>0</v>
      </c>
    </row>
  </sheetData>
  <printOptions gridLines="1"/>
  <pageMargins left="0.75" right="0.75" top="1" bottom="1" header="0.5" footer="0.5"/>
  <pageSetup horizontalDpi="180" verticalDpi="180" orientation="portrait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U19"/>
  <sheetViews>
    <sheetView zoomScale="75" zoomScaleNormal="75" workbookViewId="0" topLeftCell="A1">
      <pane xSplit="1" topLeftCell="E1" activePane="topRight" state="frozen"/>
      <selection pane="topLeft" activeCell="A1" sqref="A1"/>
      <selection pane="topRight" activeCell="V10" sqref="V10"/>
    </sheetView>
  </sheetViews>
  <sheetFormatPr defaultColWidth="11.5546875" defaultRowHeight="15"/>
  <cols>
    <col min="1" max="1" width="10.99609375" style="3" customWidth="1"/>
    <col min="2" max="2" width="8.88671875" style="8" customWidth="1"/>
    <col min="3" max="3" width="8.6640625" style="0" customWidth="1"/>
    <col min="4" max="4" width="8.88671875" style="8" customWidth="1"/>
    <col min="5" max="7" width="8.6640625" style="0" customWidth="1"/>
    <col min="8" max="8" width="10.3359375" style="111" bestFit="1" customWidth="1"/>
    <col min="9" max="17" width="8.6640625" style="0" customWidth="1"/>
    <col min="18" max="18" width="9.99609375" style="0" customWidth="1"/>
    <col min="19" max="19" width="8.6640625" style="0" customWidth="1"/>
    <col min="20" max="20" width="9.6640625" style="0" bestFit="1" customWidth="1"/>
    <col min="21" max="16384" width="8.6640625" style="0" customWidth="1"/>
  </cols>
  <sheetData>
    <row r="2" ht="15.75" thickBot="1">
      <c r="A2" s="153" t="s">
        <v>28</v>
      </c>
    </row>
    <row r="3" spans="1:21" s="11" customFormat="1" ht="16.5">
      <c r="A3" s="156"/>
      <c r="B3" s="45">
        <v>1998</v>
      </c>
      <c r="C3" s="53"/>
      <c r="D3" s="26">
        <v>1999</v>
      </c>
      <c r="E3" s="28"/>
      <c r="F3" s="26">
        <v>2000</v>
      </c>
      <c r="G3" s="28"/>
      <c r="H3" s="118">
        <v>2001</v>
      </c>
      <c r="I3" s="53"/>
      <c r="J3" s="118" t="s">
        <v>33</v>
      </c>
      <c r="K3" s="53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5" customFormat="1" ht="15">
      <c r="A4" s="4"/>
      <c r="B4" s="32" t="s">
        <v>5</v>
      </c>
      <c r="C4" s="34"/>
      <c r="D4" s="29" t="s">
        <v>5</v>
      </c>
      <c r="E4" s="31"/>
      <c r="F4" s="29" t="s">
        <v>5</v>
      </c>
      <c r="G4" s="31"/>
      <c r="H4" s="112" t="s">
        <v>5</v>
      </c>
      <c r="I4" s="34"/>
      <c r="J4" s="112" t="s">
        <v>5</v>
      </c>
      <c r="K4" s="34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5" customFormat="1" ht="15">
      <c r="A5" s="4" t="s">
        <v>22</v>
      </c>
      <c r="B5" s="32" t="s">
        <v>8</v>
      </c>
      <c r="C5" s="34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112" t="s">
        <v>8</v>
      </c>
      <c r="I5" s="34" t="s">
        <v>7</v>
      </c>
      <c r="J5" s="112" t="s">
        <v>8</v>
      </c>
      <c r="K5" s="34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32"/>
      <c r="C6" s="34"/>
      <c r="D6" s="32"/>
      <c r="E6" s="34"/>
      <c r="F6" s="32"/>
      <c r="G6" s="34"/>
      <c r="H6" s="112"/>
      <c r="I6" s="34"/>
      <c r="J6" s="112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/>
      <c r="C7" s="43"/>
      <c r="D7" s="38">
        <v>50.93</v>
      </c>
      <c r="E7" s="41">
        <v>95.3</v>
      </c>
      <c r="F7" s="38">
        <v>184.94</v>
      </c>
      <c r="G7" s="41">
        <v>174</v>
      </c>
      <c r="H7" s="113">
        <v>208.44</v>
      </c>
      <c r="I7" s="83">
        <v>209.7</v>
      </c>
      <c r="J7" s="113">
        <v>100.68</v>
      </c>
      <c r="K7" s="83">
        <v>96.9</v>
      </c>
      <c r="L7" s="38">
        <v>79.25</v>
      </c>
      <c r="M7" s="43">
        <v>84.4</v>
      </c>
      <c r="N7" s="38">
        <v>170.67</v>
      </c>
      <c r="O7" s="43">
        <v>155.3</v>
      </c>
      <c r="P7" s="38">
        <v>235.92</v>
      </c>
      <c r="Q7" s="43">
        <v>145.9</v>
      </c>
      <c r="R7" s="38">
        <v>336.77</v>
      </c>
      <c r="S7" s="43">
        <v>160.6</v>
      </c>
      <c r="T7" s="38">
        <v>173.43</v>
      </c>
      <c r="U7" s="43">
        <v>70.5</v>
      </c>
    </row>
    <row r="8" spans="1:21" ht="15">
      <c r="A8" s="2" t="s">
        <v>10</v>
      </c>
      <c r="B8" s="35"/>
      <c r="C8" s="43"/>
      <c r="D8" s="38">
        <v>79.55</v>
      </c>
      <c r="E8" s="41">
        <v>155.1</v>
      </c>
      <c r="F8" s="38">
        <v>0</v>
      </c>
      <c r="G8" s="41">
        <v>0</v>
      </c>
      <c r="H8" s="113">
        <v>108.05</v>
      </c>
      <c r="I8" s="83">
        <v>108.7</v>
      </c>
      <c r="J8" s="113">
        <v>107.64</v>
      </c>
      <c r="K8" s="83">
        <v>103.6</v>
      </c>
      <c r="L8" s="38">
        <v>164.04</v>
      </c>
      <c r="M8" s="43">
        <v>174.7</v>
      </c>
      <c r="N8" s="38">
        <v>117.3</v>
      </c>
      <c r="O8" s="43">
        <v>128.91</v>
      </c>
      <c r="P8" s="38">
        <v>86.51</v>
      </c>
      <c r="Q8" s="43">
        <v>53.5</v>
      </c>
      <c r="R8" s="38">
        <v>197.54</v>
      </c>
      <c r="S8" s="43">
        <v>94.2</v>
      </c>
      <c r="T8" s="38">
        <v>281.42</v>
      </c>
      <c r="U8" s="43">
        <v>114.4</v>
      </c>
    </row>
    <row r="9" spans="1:21" ht="15">
      <c r="A9" s="2" t="s">
        <v>11</v>
      </c>
      <c r="B9" s="35"/>
      <c r="C9" s="43"/>
      <c r="D9" s="38"/>
      <c r="E9" s="41"/>
      <c r="F9" s="38">
        <v>171.68</v>
      </c>
      <c r="G9" s="41">
        <v>171.1</v>
      </c>
      <c r="H9" s="114">
        <v>207.94</v>
      </c>
      <c r="I9" s="43">
        <v>209.2</v>
      </c>
      <c r="J9" s="114">
        <v>110.03</v>
      </c>
      <c r="K9" s="43">
        <v>105.9</v>
      </c>
      <c r="L9" s="38">
        <v>89.86</v>
      </c>
      <c r="M9" s="43">
        <v>95.7</v>
      </c>
      <c r="N9" s="38">
        <v>134.74</v>
      </c>
      <c r="O9" s="43">
        <v>122.6</v>
      </c>
      <c r="P9" s="38">
        <f>154.59+105.43</f>
        <v>260.02</v>
      </c>
      <c r="Q9" s="43">
        <f>95.6+65.2</f>
        <v>160.8</v>
      </c>
      <c r="R9" s="38">
        <v>153.29</v>
      </c>
      <c r="S9" s="43">
        <v>73.1</v>
      </c>
      <c r="T9" s="38">
        <v>198.03</v>
      </c>
      <c r="U9" s="43">
        <v>80.5</v>
      </c>
    </row>
    <row r="10" spans="1:21" ht="15">
      <c r="A10" s="2" t="s">
        <v>23</v>
      </c>
      <c r="B10" s="35"/>
      <c r="C10" s="43"/>
      <c r="D10" s="38"/>
      <c r="E10" s="41"/>
      <c r="F10" s="38">
        <v>0</v>
      </c>
      <c r="G10" s="41">
        <v>0</v>
      </c>
      <c r="H10" s="114"/>
      <c r="I10" s="43"/>
      <c r="J10" s="114">
        <v>92.06</v>
      </c>
      <c r="K10" s="43">
        <v>88.6</v>
      </c>
      <c r="L10" s="38">
        <v>71.36</v>
      </c>
      <c r="M10" s="43">
        <v>76</v>
      </c>
      <c r="N10" s="38">
        <v>58.91</v>
      </c>
      <c r="O10" s="43">
        <v>53.6</v>
      </c>
      <c r="P10" s="38"/>
      <c r="Q10" s="43"/>
      <c r="R10" s="38">
        <v>72.56</v>
      </c>
      <c r="S10" s="43">
        <v>34.6</v>
      </c>
      <c r="T10" s="38">
        <v>100.37</v>
      </c>
      <c r="U10" s="43">
        <v>40.8</v>
      </c>
    </row>
    <row r="11" spans="1:21" ht="15">
      <c r="A11" s="2" t="s">
        <v>13</v>
      </c>
      <c r="B11" s="35"/>
      <c r="C11" s="43"/>
      <c r="D11" s="38"/>
      <c r="E11" s="41"/>
      <c r="F11" s="38">
        <v>0</v>
      </c>
      <c r="G11" s="41">
        <v>0</v>
      </c>
      <c r="H11" s="114"/>
      <c r="I11" s="43"/>
      <c r="J11" s="114">
        <v>85.41</v>
      </c>
      <c r="K11" s="43">
        <v>82.2</v>
      </c>
      <c r="L11" s="38">
        <v>67.89</v>
      </c>
      <c r="M11" s="43">
        <v>72.3</v>
      </c>
      <c r="N11" s="38"/>
      <c r="O11" s="43"/>
      <c r="R11" s="38"/>
      <c r="S11" s="43"/>
      <c r="T11" s="38"/>
      <c r="U11" s="43"/>
    </row>
    <row r="12" spans="1:21" ht="15">
      <c r="A12" s="2" t="s">
        <v>14</v>
      </c>
      <c r="B12" s="35"/>
      <c r="C12" s="43"/>
      <c r="D12" s="38">
        <v>74.41</v>
      </c>
      <c r="E12" s="41">
        <v>126.2</v>
      </c>
      <c r="F12" s="38">
        <v>127.76</v>
      </c>
      <c r="G12" s="41">
        <v>135.6</v>
      </c>
      <c r="H12" s="114">
        <v>159.49</v>
      </c>
      <c r="I12" s="43">
        <v>153.5</v>
      </c>
      <c r="J12" s="114">
        <v>12.68</v>
      </c>
      <c r="K12" s="43">
        <v>12.2</v>
      </c>
      <c r="L12" s="38">
        <v>5.71</v>
      </c>
      <c r="M12" s="43">
        <v>5.2</v>
      </c>
      <c r="N12" s="38">
        <v>42.2</v>
      </c>
      <c r="O12" s="43">
        <v>38.4</v>
      </c>
      <c r="P12" s="38">
        <v>118.69</v>
      </c>
      <c r="Q12" s="43">
        <v>73.4</v>
      </c>
      <c r="R12" s="38">
        <v>92.9</v>
      </c>
      <c r="S12" s="43">
        <v>44.3</v>
      </c>
      <c r="T12" s="38"/>
      <c r="U12" s="43"/>
    </row>
    <row r="13" spans="1:21" ht="15">
      <c r="A13" s="2" t="s">
        <v>15</v>
      </c>
      <c r="B13" s="35"/>
      <c r="C13" s="43"/>
      <c r="D13" s="38"/>
      <c r="E13" s="41"/>
      <c r="F13" s="38">
        <v>0</v>
      </c>
      <c r="G13" s="41">
        <v>0</v>
      </c>
      <c r="H13" s="114"/>
      <c r="I13" s="43"/>
      <c r="J13" s="114">
        <v>0</v>
      </c>
      <c r="K13" s="43">
        <v>0</v>
      </c>
      <c r="L13" s="38"/>
      <c r="M13" s="43"/>
      <c r="N13" s="38"/>
      <c r="O13" s="43"/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/>
      <c r="C14" s="43"/>
      <c r="D14" s="38"/>
      <c r="E14" s="41"/>
      <c r="F14" s="38">
        <v>0.89</v>
      </c>
      <c r="G14" s="41">
        <v>0.9</v>
      </c>
      <c r="H14" s="114">
        <v>2.08</v>
      </c>
      <c r="I14" s="43">
        <v>2</v>
      </c>
      <c r="J14" s="114">
        <v>14.55</v>
      </c>
      <c r="K14" s="43">
        <v>15.5</v>
      </c>
      <c r="L14" s="38"/>
      <c r="M14" s="43"/>
      <c r="N14" s="38">
        <v>2.64</v>
      </c>
      <c r="O14" s="43">
        <v>2.4</v>
      </c>
      <c r="P14" s="38"/>
      <c r="Q14" s="43"/>
      <c r="R14" s="38">
        <v>136.53</v>
      </c>
      <c r="S14" s="43">
        <v>55.5</v>
      </c>
      <c r="T14" s="38"/>
      <c r="U14" s="43"/>
    </row>
    <row r="15" spans="1:21" ht="15">
      <c r="A15" s="2" t="s">
        <v>17</v>
      </c>
      <c r="B15" s="35"/>
      <c r="C15" s="43"/>
      <c r="D15" s="38"/>
      <c r="E15" s="41"/>
      <c r="F15" s="38">
        <v>0</v>
      </c>
      <c r="G15" s="41">
        <v>0</v>
      </c>
      <c r="H15" s="114"/>
      <c r="I15" s="43"/>
      <c r="J15" s="114">
        <v>0</v>
      </c>
      <c r="K15" s="43">
        <v>0</v>
      </c>
      <c r="L15" s="38">
        <v>3.08</v>
      </c>
      <c r="M15" s="43">
        <v>2.8</v>
      </c>
      <c r="N15" s="38"/>
      <c r="O15" s="43"/>
      <c r="P15" s="38"/>
      <c r="Q15" s="43"/>
      <c r="R15" s="38"/>
      <c r="S15" s="43"/>
      <c r="T15" s="38"/>
      <c r="U15" s="43"/>
    </row>
    <row r="16" spans="1:21" ht="15">
      <c r="A16" s="2" t="s">
        <v>18</v>
      </c>
      <c r="B16" s="35"/>
      <c r="C16" s="43"/>
      <c r="D16" s="38"/>
      <c r="E16" s="41"/>
      <c r="F16" s="38">
        <v>0</v>
      </c>
      <c r="G16" s="41">
        <v>0</v>
      </c>
      <c r="H16" s="114"/>
      <c r="I16" s="43"/>
      <c r="J16" s="114">
        <v>0</v>
      </c>
      <c r="K16" s="43">
        <v>0</v>
      </c>
      <c r="L16" s="38">
        <v>15.06</v>
      </c>
      <c r="M16" s="43">
        <v>13.7</v>
      </c>
      <c r="N16" s="38">
        <v>4.34</v>
      </c>
      <c r="O16" s="43">
        <v>2.6</v>
      </c>
      <c r="P16" s="38"/>
      <c r="Q16" s="43"/>
      <c r="R16" s="38">
        <v>29.27</v>
      </c>
      <c r="S16" s="43">
        <v>11.9</v>
      </c>
      <c r="T16" s="38"/>
      <c r="U16" s="43"/>
    </row>
    <row r="17" spans="1:21" ht="15">
      <c r="A17" s="2" t="s">
        <v>19</v>
      </c>
      <c r="B17" s="35">
        <v>45.44</v>
      </c>
      <c r="C17" s="43">
        <v>81.5</v>
      </c>
      <c r="D17" s="38"/>
      <c r="E17" s="41"/>
      <c r="F17" s="38">
        <v>0</v>
      </c>
      <c r="G17" s="41">
        <v>0</v>
      </c>
      <c r="H17" s="114">
        <v>40.21</v>
      </c>
      <c r="I17" s="43">
        <v>38.7</v>
      </c>
      <c r="J17" s="114">
        <v>74.74</v>
      </c>
      <c r="K17" s="43">
        <v>79.6</v>
      </c>
      <c r="L17" s="38">
        <v>63.85</v>
      </c>
      <c r="M17" s="43">
        <v>58.1</v>
      </c>
      <c r="N17" s="38">
        <v>111.57</v>
      </c>
      <c r="O17" s="43">
        <v>69</v>
      </c>
      <c r="P17" s="38">
        <v>127.71</v>
      </c>
      <c r="Q17" s="43">
        <v>60.9</v>
      </c>
      <c r="R17" s="38">
        <v>61.75</v>
      </c>
      <c r="S17" s="43">
        <v>25.1</v>
      </c>
      <c r="T17" s="38"/>
      <c r="U17" s="43"/>
    </row>
    <row r="18" spans="1:21" ht="15.75" thickBot="1">
      <c r="A18" s="2" t="s">
        <v>20</v>
      </c>
      <c r="B18" s="99">
        <v>73.6</v>
      </c>
      <c r="C18" s="86">
        <v>147.1</v>
      </c>
      <c r="D18" s="38">
        <v>122.35</v>
      </c>
      <c r="E18" s="41">
        <v>147.7</v>
      </c>
      <c r="F18" s="38">
        <v>147.41</v>
      </c>
      <c r="G18" s="41">
        <v>148.3</v>
      </c>
      <c r="H18" s="114">
        <v>100.26</v>
      </c>
      <c r="I18" s="43">
        <v>96.5</v>
      </c>
      <c r="J18" s="114">
        <v>170.9</v>
      </c>
      <c r="K18" s="43">
        <v>182</v>
      </c>
      <c r="L18" s="38">
        <v>174.74</v>
      </c>
      <c r="M18" s="43">
        <v>159</v>
      </c>
      <c r="N18" s="38">
        <f>112.22+114.81</f>
        <v>227.03</v>
      </c>
      <c r="O18" s="43">
        <f>69.4+71</f>
        <v>140.4</v>
      </c>
      <c r="P18" s="38">
        <v>71.3</v>
      </c>
      <c r="Q18" s="43">
        <v>34</v>
      </c>
      <c r="R18" s="38">
        <v>66.67</v>
      </c>
      <c r="S18" s="43">
        <v>27.1</v>
      </c>
      <c r="T18" s="38"/>
      <c r="U18" s="43"/>
    </row>
    <row r="19" spans="1:21" s="1" customFormat="1" ht="15.75" thickBot="1">
      <c r="A19" s="2" t="s">
        <v>21</v>
      </c>
      <c r="B19" s="37">
        <f aca="true" t="shared" si="0" ref="B19:G19">SUM(B7:B18)</f>
        <v>119.03999999999999</v>
      </c>
      <c r="C19" s="52">
        <f t="shared" si="0"/>
        <v>228.6</v>
      </c>
      <c r="D19" s="93">
        <f t="shared" si="0"/>
        <v>327.24</v>
      </c>
      <c r="E19" s="94">
        <f t="shared" si="0"/>
        <v>524.3</v>
      </c>
      <c r="F19" s="93">
        <f t="shared" si="0"/>
        <v>632.68</v>
      </c>
      <c r="G19" s="94">
        <f t="shared" si="0"/>
        <v>629.9000000000001</v>
      </c>
      <c r="H19" s="117">
        <f>SUM(H7:H18)</f>
        <v>826.4700000000001</v>
      </c>
      <c r="I19" s="52">
        <f>SUM(I7:I18)</f>
        <v>818.3</v>
      </c>
      <c r="J19" s="117"/>
      <c r="K19" s="52">
        <f aca="true" t="shared" si="1" ref="K19:S19">SUM(K7:K18)</f>
        <v>766.5</v>
      </c>
      <c r="L19" s="133">
        <f t="shared" si="1"/>
        <v>734.8399999999999</v>
      </c>
      <c r="M19" s="89">
        <f t="shared" si="1"/>
        <v>741.9000000000001</v>
      </c>
      <c r="N19" s="133">
        <f t="shared" si="1"/>
        <v>869.4000000000001</v>
      </c>
      <c r="O19" s="89">
        <f t="shared" si="1"/>
        <v>713.21</v>
      </c>
      <c r="P19" s="133">
        <f t="shared" si="1"/>
        <v>900.1500000000001</v>
      </c>
      <c r="Q19" s="89">
        <f t="shared" si="1"/>
        <v>528.5</v>
      </c>
      <c r="R19" s="133">
        <f t="shared" si="1"/>
        <v>1147.2799999999997</v>
      </c>
      <c r="S19" s="89">
        <f t="shared" si="1"/>
        <v>526.4</v>
      </c>
      <c r="T19" s="133">
        <f>SUM(T7:T18)</f>
        <v>753.25</v>
      </c>
      <c r="U19" s="89">
        <f>SUM(U7:U18)</f>
        <v>306.2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U19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V10" sqref="V10"/>
    </sheetView>
  </sheetViews>
  <sheetFormatPr defaultColWidth="11.5546875" defaultRowHeight="15"/>
  <cols>
    <col min="1" max="1" width="14.3359375" style="3" bestFit="1" customWidth="1"/>
    <col min="2" max="2" width="8.88671875" style="8" customWidth="1"/>
    <col min="3" max="3" width="8.6640625" style="0" customWidth="1"/>
    <col min="4" max="4" width="9.88671875" style="8" customWidth="1"/>
    <col min="5" max="5" width="8.6640625" style="0" customWidth="1"/>
    <col min="6" max="6" width="9.88671875" style="0" customWidth="1"/>
    <col min="7" max="7" width="8.6640625" style="0" customWidth="1"/>
    <col min="8" max="8" width="10.3359375" style="111" bestFit="1" customWidth="1"/>
    <col min="9" max="9" width="8.6640625" style="0" customWidth="1"/>
    <col min="10" max="10" width="10.5546875" style="0" customWidth="1"/>
    <col min="11" max="11" width="8.6640625" style="0" customWidth="1"/>
    <col min="12" max="12" width="10.99609375" style="0" customWidth="1"/>
    <col min="13" max="13" width="8.6640625" style="0" customWidth="1"/>
    <col min="14" max="14" width="9.6640625" style="0" bestFit="1" customWidth="1"/>
    <col min="15" max="15" width="8.6640625" style="0" customWidth="1"/>
    <col min="16" max="16" width="9.4453125" style="0" customWidth="1"/>
    <col min="17" max="17" width="8.6640625" style="0" customWidth="1"/>
    <col min="18" max="18" width="10.3359375" style="0" customWidth="1"/>
    <col min="19" max="19" width="8.6640625" style="0" customWidth="1"/>
    <col min="20" max="20" width="9.6640625" style="0" bestFit="1" customWidth="1"/>
    <col min="21" max="16384" width="8.6640625" style="0" customWidth="1"/>
  </cols>
  <sheetData>
    <row r="2" ht="15.75" thickBot="1">
      <c r="A2" s="153" t="s">
        <v>28</v>
      </c>
    </row>
    <row r="3" spans="1:21" s="11" customFormat="1" ht="16.5">
      <c r="A3" s="156"/>
      <c r="B3" s="45">
        <v>1998</v>
      </c>
      <c r="C3" s="53"/>
      <c r="D3" s="26">
        <v>1999</v>
      </c>
      <c r="E3" s="28"/>
      <c r="F3" s="26">
        <v>2000</v>
      </c>
      <c r="G3" s="28"/>
      <c r="H3" s="118">
        <v>2001</v>
      </c>
      <c r="I3" s="53"/>
      <c r="J3" s="118" t="s">
        <v>33</v>
      </c>
      <c r="K3" s="53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5" customFormat="1" ht="15">
      <c r="A4" s="4"/>
      <c r="B4" s="32" t="s">
        <v>5</v>
      </c>
      <c r="C4" s="34"/>
      <c r="D4" s="29" t="s">
        <v>5</v>
      </c>
      <c r="E4" s="31"/>
      <c r="F4" s="29" t="s">
        <v>5</v>
      </c>
      <c r="G4" s="31"/>
      <c r="H4" s="112" t="s">
        <v>5</v>
      </c>
      <c r="I4" s="34"/>
      <c r="J4" s="112" t="s">
        <v>5</v>
      </c>
      <c r="K4" s="34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5" customFormat="1" ht="15">
      <c r="A5" s="4" t="s">
        <v>22</v>
      </c>
      <c r="B5" s="32" t="s">
        <v>8</v>
      </c>
      <c r="C5" s="34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112" t="s">
        <v>8</v>
      </c>
      <c r="I5" s="34" t="s">
        <v>7</v>
      </c>
      <c r="J5" s="112" t="s">
        <v>8</v>
      </c>
      <c r="K5" s="34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32"/>
      <c r="C6" s="34"/>
      <c r="D6" s="32"/>
      <c r="E6" s="34"/>
      <c r="F6" s="32"/>
      <c r="G6" s="34"/>
      <c r="H6" s="112"/>
      <c r="I6" s="34"/>
      <c r="J6" s="112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/>
      <c r="C7" s="43"/>
      <c r="D7" s="38">
        <v>148.31</v>
      </c>
      <c r="E7" s="41">
        <v>284.7</v>
      </c>
      <c r="F7" s="38">
        <v>299.17</v>
      </c>
      <c r="G7" s="41">
        <v>277.8</v>
      </c>
      <c r="H7" s="113">
        <v>318.68</v>
      </c>
      <c r="I7" s="83">
        <v>209.6</v>
      </c>
      <c r="J7" s="113">
        <v>396.16</v>
      </c>
      <c r="K7" s="83">
        <v>355.3</v>
      </c>
      <c r="L7" s="38">
        <v>355.89</v>
      </c>
      <c r="M7" s="43">
        <v>379</v>
      </c>
      <c r="N7" s="38">
        <v>404.65</v>
      </c>
      <c r="O7" s="43">
        <v>368.2</v>
      </c>
      <c r="P7" s="38">
        <f>236.08+299.63</f>
        <v>535.71</v>
      </c>
      <c r="Q7" s="43">
        <f>146+185.3</f>
        <v>331.3</v>
      </c>
      <c r="R7" s="38">
        <v>437.64</v>
      </c>
      <c r="S7" s="43">
        <v>208.7</v>
      </c>
      <c r="T7" s="38">
        <v>404.42</v>
      </c>
      <c r="U7" s="43">
        <v>164.4</v>
      </c>
    </row>
    <row r="8" spans="1:21" ht="15">
      <c r="A8" s="2" t="s">
        <v>10</v>
      </c>
      <c r="B8" s="35"/>
      <c r="C8" s="43"/>
      <c r="D8" s="38">
        <v>90.37</v>
      </c>
      <c r="E8" s="41">
        <v>188.5</v>
      </c>
      <c r="F8" s="38">
        <v>384.99</v>
      </c>
      <c r="G8" s="41">
        <v>311.4</v>
      </c>
      <c r="H8" s="113">
        <v>330.6</v>
      </c>
      <c r="I8" s="83">
        <v>332.6</v>
      </c>
      <c r="J8" s="113">
        <v>189.41</v>
      </c>
      <c r="K8" s="83">
        <v>182.3</v>
      </c>
      <c r="L8" s="38">
        <v>232.87</v>
      </c>
      <c r="M8" s="43">
        <v>248</v>
      </c>
      <c r="N8" s="38">
        <v>318.71</v>
      </c>
      <c r="O8" s="43">
        <v>608.71</v>
      </c>
      <c r="P8" s="38">
        <v>184.34</v>
      </c>
      <c r="Q8" s="43">
        <v>114</v>
      </c>
      <c r="R8" s="38">
        <v>656.37</v>
      </c>
      <c r="S8" s="43">
        <v>313</v>
      </c>
      <c r="T8" s="38">
        <f>487.08+415.74</f>
        <v>902.8199999999999</v>
      </c>
      <c r="U8" s="43">
        <f>198+169</f>
        <v>367</v>
      </c>
    </row>
    <row r="9" spans="1:21" ht="15">
      <c r="A9" s="2" t="s">
        <v>11</v>
      </c>
      <c r="B9" s="35"/>
      <c r="C9" s="43"/>
      <c r="D9" s="38">
        <v>187.64</v>
      </c>
      <c r="E9" s="41">
        <v>348</v>
      </c>
      <c r="F9" s="38">
        <v>0</v>
      </c>
      <c r="G9" s="41">
        <v>0</v>
      </c>
      <c r="H9" s="114">
        <v>203.87</v>
      </c>
      <c r="I9" s="43">
        <v>205.1</v>
      </c>
      <c r="J9" s="114">
        <v>236.79</v>
      </c>
      <c r="K9" s="43">
        <v>227.9</v>
      </c>
      <c r="L9" s="38">
        <v>213.43</v>
      </c>
      <c r="M9" s="43">
        <v>227.3</v>
      </c>
      <c r="N9" s="38">
        <v>358.28</v>
      </c>
      <c r="O9" s="43">
        <v>326</v>
      </c>
      <c r="P9" s="38">
        <v>614.46</v>
      </c>
      <c r="Q9" s="43">
        <v>380</v>
      </c>
      <c r="R9" s="38">
        <v>493.7</v>
      </c>
      <c r="S9" s="43">
        <v>234</v>
      </c>
      <c r="T9" s="38">
        <v>387.94</v>
      </c>
      <c r="U9" s="43">
        <v>157.7</v>
      </c>
    </row>
    <row r="10" spans="1:21" ht="15">
      <c r="A10" s="2" t="s">
        <v>23</v>
      </c>
      <c r="B10" s="35"/>
      <c r="C10" s="43"/>
      <c r="D10" s="38">
        <v>99.07</v>
      </c>
      <c r="E10" s="41">
        <v>165</v>
      </c>
      <c r="F10" s="38">
        <v>178.44</v>
      </c>
      <c r="G10" s="41">
        <v>200</v>
      </c>
      <c r="H10" s="114">
        <v>208.75</v>
      </c>
      <c r="I10" s="43">
        <v>174.1</v>
      </c>
      <c r="J10" s="114">
        <v>117.2</v>
      </c>
      <c r="K10" s="43">
        <v>112.8</v>
      </c>
      <c r="L10" s="38">
        <v>161.79</v>
      </c>
      <c r="M10" s="43">
        <v>172.3</v>
      </c>
      <c r="N10" s="38">
        <v>148.47</v>
      </c>
      <c r="O10" s="43">
        <v>135.1</v>
      </c>
      <c r="P10" s="38">
        <v>161.86</v>
      </c>
      <c r="Q10" s="43">
        <v>100.1</v>
      </c>
      <c r="R10" s="38">
        <v>265.69</v>
      </c>
      <c r="S10" s="43">
        <v>126.7</v>
      </c>
      <c r="T10" s="38">
        <v>412.3</v>
      </c>
      <c r="U10" s="43">
        <v>167.6</v>
      </c>
    </row>
    <row r="11" spans="1:21" ht="15">
      <c r="A11" s="2" t="s">
        <v>13</v>
      </c>
      <c r="B11" s="35"/>
      <c r="C11" s="43"/>
      <c r="D11" s="38"/>
      <c r="E11" s="41"/>
      <c r="F11" s="38">
        <v>201.16</v>
      </c>
      <c r="G11" s="41">
        <v>213</v>
      </c>
      <c r="H11" s="114"/>
      <c r="I11" s="43"/>
      <c r="J11" s="114">
        <v>203.12</v>
      </c>
      <c r="K11" s="43">
        <v>195.5</v>
      </c>
      <c r="L11" s="38">
        <v>200.95</v>
      </c>
      <c r="M11" s="43">
        <v>214</v>
      </c>
      <c r="N11" s="38"/>
      <c r="O11" s="43"/>
      <c r="R11" s="38"/>
      <c r="S11" s="43"/>
      <c r="T11" s="38"/>
      <c r="U11" s="43"/>
    </row>
    <row r="12" spans="1:21" ht="15">
      <c r="A12" s="2" t="s">
        <v>14</v>
      </c>
      <c r="B12" s="35"/>
      <c r="C12" s="43"/>
      <c r="D12" s="38">
        <v>57.19</v>
      </c>
      <c r="E12" s="41">
        <v>97</v>
      </c>
      <c r="F12" s="38">
        <v>0</v>
      </c>
      <c r="G12" s="41">
        <v>0</v>
      </c>
      <c r="H12" s="114">
        <v>126.76</v>
      </c>
      <c r="I12" s="43">
        <v>122</v>
      </c>
      <c r="J12" s="114">
        <v>22.03</v>
      </c>
      <c r="K12" s="43">
        <v>21.2</v>
      </c>
      <c r="L12" s="38">
        <v>27.69</v>
      </c>
      <c r="M12" s="43">
        <v>25.2</v>
      </c>
      <c r="N12" s="38">
        <v>154.96</v>
      </c>
      <c r="O12" s="43">
        <v>141</v>
      </c>
      <c r="P12" s="38">
        <v>293.31</v>
      </c>
      <c r="Q12" s="43">
        <v>181.4</v>
      </c>
      <c r="R12" s="38">
        <v>218.93</v>
      </c>
      <c r="S12" s="43">
        <v>104.4</v>
      </c>
      <c r="T12" s="38"/>
      <c r="U12" s="43"/>
    </row>
    <row r="13" spans="1:21" ht="15">
      <c r="A13" s="2" t="s">
        <v>15</v>
      </c>
      <c r="B13" s="35"/>
      <c r="C13" s="43"/>
      <c r="D13" s="38"/>
      <c r="E13" s="41"/>
      <c r="F13" s="38">
        <v>0</v>
      </c>
      <c r="G13" s="41">
        <v>0</v>
      </c>
      <c r="H13" s="114"/>
      <c r="I13" s="43"/>
      <c r="J13" s="114">
        <v>0</v>
      </c>
      <c r="K13" s="43">
        <v>0</v>
      </c>
      <c r="L13" s="38"/>
      <c r="M13" s="43"/>
      <c r="N13" s="38"/>
      <c r="O13" s="43"/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/>
      <c r="C14" s="43"/>
      <c r="D14" s="38">
        <v>12.47</v>
      </c>
      <c r="E14" s="41">
        <v>17</v>
      </c>
      <c r="F14" s="38">
        <v>19.98</v>
      </c>
      <c r="G14" s="41">
        <v>20.1</v>
      </c>
      <c r="H14" s="114">
        <v>26.18</v>
      </c>
      <c r="I14" s="43">
        <v>25.2</v>
      </c>
      <c r="J14" s="114">
        <v>27.23</v>
      </c>
      <c r="K14" s="43">
        <v>20</v>
      </c>
      <c r="L14" s="38"/>
      <c r="M14" s="43"/>
      <c r="N14" s="38">
        <v>42.86</v>
      </c>
      <c r="O14" s="43">
        <v>39</v>
      </c>
      <c r="P14" s="38">
        <v>26.42</v>
      </c>
      <c r="Q14" s="43">
        <v>12.6</v>
      </c>
      <c r="R14" s="38">
        <v>36.16</v>
      </c>
      <c r="S14" s="43">
        <v>14.7</v>
      </c>
      <c r="T14" s="38"/>
      <c r="U14" s="43"/>
    </row>
    <row r="15" spans="1:21" ht="15">
      <c r="A15" s="2" t="s">
        <v>17</v>
      </c>
      <c r="B15" s="35"/>
      <c r="C15" s="43"/>
      <c r="D15" s="38"/>
      <c r="E15" s="41"/>
      <c r="F15" s="38">
        <v>0</v>
      </c>
      <c r="G15" s="41">
        <v>0</v>
      </c>
      <c r="H15" s="114"/>
      <c r="I15" s="43"/>
      <c r="J15" s="114">
        <v>0</v>
      </c>
      <c r="K15" s="43">
        <v>0</v>
      </c>
      <c r="L15" s="38">
        <v>17.58</v>
      </c>
      <c r="M15" s="43">
        <v>16</v>
      </c>
      <c r="N15" s="38"/>
      <c r="O15" s="43"/>
      <c r="P15" s="38"/>
      <c r="Q15" s="43"/>
      <c r="R15" s="38"/>
      <c r="S15" s="43"/>
      <c r="T15" s="38"/>
      <c r="U15" s="43"/>
    </row>
    <row r="16" spans="1:21" ht="15">
      <c r="A16" s="2" t="s">
        <v>18</v>
      </c>
      <c r="B16" s="35">
        <v>55.06</v>
      </c>
      <c r="C16" s="43">
        <v>113.7</v>
      </c>
      <c r="D16" s="38">
        <v>95.92</v>
      </c>
      <c r="E16" s="41">
        <v>125.6</v>
      </c>
      <c r="F16" s="38">
        <v>124.85</v>
      </c>
      <c r="G16" s="41">
        <v>125.6</v>
      </c>
      <c r="H16" s="114"/>
      <c r="I16" s="43"/>
      <c r="J16" s="114">
        <v>138.97</v>
      </c>
      <c r="K16" s="43">
        <v>148</v>
      </c>
      <c r="L16" s="38"/>
      <c r="M16" s="43"/>
      <c r="N16" s="38">
        <v>193.72</v>
      </c>
      <c r="O16" s="43">
        <v>116</v>
      </c>
      <c r="P16" s="38">
        <v>60.6</v>
      </c>
      <c r="Q16" s="43">
        <v>28.9</v>
      </c>
      <c r="R16" s="38">
        <v>344.89</v>
      </c>
      <c r="S16" s="43">
        <v>140.2</v>
      </c>
      <c r="T16" s="38"/>
      <c r="U16" s="43"/>
    </row>
    <row r="17" spans="1:21" ht="15">
      <c r="A17" s="2" t="s">
        <v>19</v>
      </c>
      <c r="B17" s="35">
        <v>31.67</v>
      </c>
      <c r="C17" s="43">
        <v>56.8</v>
      </c>
      <c r="D17" s="38">
        <v>142.23</v>
      </c>
      <c r="E17" s="41">
        <v>179</v>
      </c>
      <c r="F17" s="38">
        <v>147.41</v>
      </c>
      <c r="G17" s="41">
        <v>148.3</v>
      </c>
      <c r="H17" s="114">
        <v>388.06</v>
      </c>
      <c r="I17" s="43">
        <v>373.5</v>
      </c>
      <c r="J17" s="114">
        <v>169.96</v>
      </c>
      <c r="K17" s="43">
        <v>181</v>
      </c>
      <c r="L17" s="38">
        <v>164.74</v>
      </c>
      <c r="M17" s="43">
        <v>149.9</v>
      </c>
      <c r="N17" s="38">
        <f>210.21+245.78</f>
        <v>455.99</v>
      </c>
      <c r="O17" s="43">
        <f>130+152</f>
        <v>282</v>
      </c>
      <c r="P17" s="38">
        <v>430.31</v>
      </c>
      <c r="Q17" s="43">
        <v>205.2</v>
      </c>
      <c r="R17" s="38">
        <v>393.85</v>
      </c>
      <c r="S17" s="43">
        <v>160.1</v>
      </c>
      <c r="T17" s="38"/>
      <c r="U17" s="43"/>
    </row>
    <row r="18" spans="1:21" ht="15.75" thickBot="1">
      <c r="A18" s="2" t="s">
        <v>20</v>
      </c>
      <c r="B18" s="99">
        <v>183.98</v>
      </c>
      <c r="C18" s="86">
        <v>367.7</v>
      </c>
      <c r="D18" s="38">
        <v>255.55</v>
      </c>
      <c r="E18" s="41">
        <v>298.8</v>
      </c>
      <c r="F18" s="38">
        <v>292.23</v>
      </c>
      <c r="G18" s="41">
        <v>294</v>
      </c>
      <c r="H18" s="114">
        <v>139.64</v>
      </c>
      <c r="I18" s="43">
        <v>134.4</v>
      </c>
      <c r="J18" s="114">
        <v>346.5</v>
      </c>
      <c r="K18" s="43">
        <v>369</v>
      </c>
      <c r="L18" s="38">
        <v>425.31</v>
      </c>
      <c r="M18" s="43">
        <v>387</v>
      </c>
      <c r="N18" s="38">
        <f>253.87+257.1</f>
        <v>510.97</v>
      </c>
      <c r="O18" s="43">
        <f>157+159</f>
        <v>316</v>
      </c>
      <c r="P18" s="38">
        <v>678.6</v>
      </c>
      <c r="Q18" s="43">
        <v>323.6</v>
      </c>
      <c r="R18" s="38">
        <f>314.88+351.29</f>
        <v>666.1700000000001</v>
      </c>
      <c r="S18" s="43">
        <f>128+142.8</f>
        <v>270.8</v>
      </c>
      <c r="T18" s="38"/>
      <c r="U18" s="43"/>
    </row>
    <row r="19" spans="1:21" s="1" customFormat="1" ht="15.75" thickBot="1">
      <c r="A19" s="2" t="s">
        <v>21</v>
      </c>
      <c r="B19" s="37">
        <f aca="true" t="shared" si="0" ref="B19:G19">SUM(B7:B18)</f>
        <v>270.71</v>
      </c>
      <c r="C19" s="52">
        <f t="shared" si="0"/>
        <v>538.2</v>
      </c>
      <c r="D19" s="93">
        <f t="shared" si="0"/>
        <v>1088.75</v>
      </c>
      <c r="E19" s="94">
        <f t="shared" si="0"/>
        <v>1703.6</v>
      </c>
      <c r="F19" s="93">
        <f t="shared" si="0"/>
        <v>1648.2300000000002</v>
      </c>
      <c r="G19" s="94">
        <f t="shared" si="0"/>
        <v>1590.2</v>
      </c>
      <c r="H19" s="117">
        <f aca="true" t="shared" si="1" ref="H19:M19">SUM(H7:H18)</f>
        <v>1742.54</v>
      </c>
      <c r="I19" s="52">
        <f t="shared" si="1"/>
        <v>1576.5000000000002</v>
      </c>
      <c r="J19" s="117">
        <f t="shared" si="1"/>
        <v>1847.3700000000001</v>
      </c>
      <c r="K19" s="52">
        <f t="shared" si="1"/>
        <v>1813</v>
      </c>
      <c r="L19" s="133">
        <f t="shared" si="1"/>
        <v>1800.25</v>
      </c>
      <c r="M19" s="89">
        <f t="shared" si="1"/>
        <v>1818.7</v>
      </c>
      <c r="N19" s="133">
        <f aca="true" t="shared" si="2" ref="N19:S19">SUM(N7:N18)</f>
        <v>2588.6099999999997</v>
      </c>
      <c r="O19" s="89">
        <f t="shared" si="2"/>
        <v>2332.01</v>
      </c>
      <c r="P19" s="133">
        <f t="shared" si="2"/>
        <v>2985.61</v>
      </c>
      <c r="Q19" s="89">
        <f t="shared" si="2"/>
        <v>1677.1</v>
      </c>
      <c r="R19" s="133">
        <f t="shared" si="2"/>
        <v>3513.3999999999996</v>
      </c>
      <c r="S19" s="89">
        <f t="shared" si="2"/>
        <v>1572.6</v>
      </c>
      <c r="T19" s="133">
        <f>SUM(T7:T18)</f>
        <v>2107.48</v>
      </c>
      <c r="U19" s="89">
        <f>SUM(U7:U18)</f>
        <v>856.6999999999999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U19"/>
  <sheetViews>
    <sheetView zoomScale="75" zoomScaleNormal="75" workbookViewId="0" topLeftCell="A1">
      <pane xSplit="1" topLeftCell="F1" activePane="topRight" state="frozen"/>
      <selection pane="topLeft" activeCell="A1" sqref="A1"/>
      <selection pane="topRight" activeCell="T9" sqref="T9"/>
    </sheetView>
  </sheetViews>
  <sheetFormatPr defaultColWidth="11.5546875" defaultRowHeight="15"/>
  <cols>
    <col min="1" max="1" width="13.6640625" style="3" bestFit="1" customWidth="1"/>
    <col min="2" max="2" width="8.88671875" style="8" customWidth="1"/>
    <col min="3" max="3" width="8.6640625" style="0" customWidth="1"/>
    <col min="4" max="4" width="8.88671875" style="8" customWidth="1"/>
    <col min="5" max="5" width="8.6640625" style="0" customWidth="1"/>
    <col min="6" max="6" width="10.10546875" style="0" customWidth="1"/>
    <col min="7" max="7" width="8.6640625" style="0" customWidth="1"/>
    <col min="8" max="8" width="10.3359375" style="111" bestFit="1" customWidth="1"/>
    <col min="9" max="9" width="8.6640625" style="0" customWidth="1"/>
    <col min="10" max="10" width="10.3359375" style="0" customWidth="1"/>
    <col min="11" max="13" width="8.6640625" style="0" customWidth="1"/>
    <col min="14" max="14" width="9.6640625" style="0" bestFit="1" customWidth="1"/>
    <col min="15" max="15" width="8.6640625" style="0" customWidth="1"/>
    <col min="16" max="16" width="9.88671875" style="0" customWidth="1"/>
    <col min="17" max="16384" width="8.6640625" style="0" customWidth="1"/>
  </cols>
  <sheetData>
    <row r="1" ht="15">
      <c r="A1" s="153" t="s">
        <v>29</v>
      </c>
    </row>
    <row r="2" ht="15.75" thickBot="1"/>
    <row r="3" spans="1:21" s="5" customFormat="1" ht="16.5">
      <c r="A3" s="155"/>
      <c r="B3" s="45">
        <v>1998</v>
      </c>
      <c r="C3" s="46"/>
      <c r="D3" s="26">
        <v>1999</v>
      </c>
      <c r="E3" s="28"/>
      <c r="F3" s="26">
        <v>2000</v>
      </c>
      <c r="G3" s="28"/>
      <c r="H3" s="118">
        <v>2001</v>
      </c>
      <c r="I3" s="46"/>
      <c r="J3" s="118" t="s">
        <v>33</v>
      </c>
      <c r="K3" s="46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5" customFormat="1" ht="15">
      <c r="A4" s="4"/>
      <c r="B4" s="32" t="s">
        <v>5</v>
      </c>
      <c r="C4" s="34"/>
      <c r="D4" s="29" t="s">
        <v>5</v>
      </c>
      <c r="E4" s="31"/>
      <c r="F4" s="29" t="s">
        <v>5</v>
      </c>
      <c r="G4" s="31"/>
      <c r="H4" s="112" t="s">
        <v>5</v>
      </c>
      <c r="I4" s="34"/>
      <c r="J4" s="112" t="s">
        <v>5</v>
      </c>
      <c r="K4" s="34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5" customFormat="1" ht="15">
      <c r="A5" s="4" t="s">
        <v>22</v>
      </c>
      <c r="B5" s="32" t="s">
        <v>8</v>
      </c>
      <c r="C5" s="34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112" t="s">
        <v>8</v>
      </c>
      <c r="I5" s="34" t="s">
        <v>7</v>
      </c>
      <c r="J5" s="112" t="s">
        <v>8</v>
      </c>
      <c r="K5" s="34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32"/>
      <c r="C6" s="34"/>
      <c r="D6" s="32"/>
      <c r="E6" s="34"/>
      <c r="F6" s="32"/>
      <c r="G6" s="34"/>
      <c r="H6" s="112"/>
      <c r="I6" s="34"/>
      <c r="J6" s="112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/>
      <c r="C7" s="43"/>
      <c r="D7" s="38">
        <v>150.68</v>
      </c>
      <c r="E7" s="41">
        <v>239.9</v>
      </c>
      <c r="F7" s="38">
        <v>170.38</v>
      </c>
      <c r="G7" s="41">
        <v>155.5</v>
      </c>
      <c r="H7" s="113">
        <v>264.96</v>
      </c>
      <c r="I7" s="43">
        <v>231.6</v>
      </c>
      <c r="J7" s="113">
        <v>149.3</v>
      </c>
      <c r="K7" s="43">
        <v>143.7</v>
      </c>
      <c r="L7" s="38">
        <v>99.09</v>
      </c>
      <c r="M7" s="43">
        <v>87</v>
      </c>
      <c r="N7" s="38">
        <v>196.28</v>
      </c>
      <c r="O7" s="43">
        <v>151.1</v>
      </c>
      <c r="P7" s="38"/>
      <c r="Q7" s="43"/>
      <c r="R7" s="38">
        <v>368.7</v>
      </c>
      <c r="S7" s="43">
        <v>160.5</v>
      </c>
      <c r="T7" s="38"/>
      <c r="U7" s="43"/>
    </row>
    <row r="8" spans="1:21" ht="15">
      <c r="A8" s="2" t="s">
        <v>10</v>
      </c>
      <c r="B8" s="35"/>
      <c r="C8" s="43"/>
      <c r="D8" s="38">
        <v>38.37</v>
      </c>
      <c r="E8" s="41">
        <v>32</v>
      </c>
      <c r="F8" s="38">
        <v>233.56</v>
      </c>
      <c r="G8" s="41">
        <v>186</v>
      </c>
      <c r="H8" s="113">
        <v>313.91</v>
      </c>
      <c r="I8" s="83">
        <v>315.8</v>
      </c>
      <c r="J8" s="113">
        <v>200.22</v>
      </c>
      <c r="K8" s="83">
        <v>192.7</v>
      </c>
      <c r="L8" s="38">
        <v>97.75</v>
      </c>
      <c r="M8" s="43">
        <v>104.1</v>
      </c>
      <c r="N8" s="38">
        <v>231.22</v>
      </c>
      <c r="O8" s="43">
        <v>178</v>
      </c>
      <c r="P8" s="38">
        <v>353.22</v>
      </c>
      <c r="Q8" s="43">
        <v>194.4</v>
      </c>
      <c r="R8" s="38"/>
      <c r="S8" s="43"/>
      <c r="T8" s="38"/>
      <c r="U8" s="43"/>
    </row>
    <row r="9" spans="1:21" ht="15">
      <c r="A9" s="2" t="s">
        <v>11</v>
      </c>
      <c r="B9" s="35"/>
      <c r="C9" s="43"/>
      <c r="D9" s="38">
        <v>101.69</v>
      </c>
      <c r="E9" s="41">
        <v>183.2</v>
      </c>
      <c r="F9" s="38">
        <v>0</v>
      </c>
      <c r="G9" s="41">
        <v>0</v>
      </c>
      <c r="H9" s="114">
        <v>242.53</v>
      </c>
      <c r="I9" s="43">
        <v>212</v>
      </c>
      <c r="J9" s="114">
        <v>0</v>
      </c>
      <c r="K9" s="43">
        <v>0</v>
      </c>
      <c r="L9" s="38"/>
      <c r="M9" s="43"/>
      <c r="N9" s="38">
        <v>213.82</v>
      </c>
      <c r="O9" s="43">
        <v>164.6</v>
      </c>
      <c r="P9" s="38">
        <v>191.69</v>
      </c>
      <c r="Q9" s="43">
        <v>105.5</v>
      </c>
      <c r="R9" s="38">
        <v>501.21</v>
      </c>
      <c r="S9" s="43">
        <v>218.2</v>
      </c>
      <c r="T9" s="38"/>
      <c r="U9" s="43"/>
    </row>
    <row r="10" spans="1:21" ht="15">
      <c r="A10" s="2" t="s">
        <v>23</v>
      </c>
      <c r="B10" s="35"/>
      <c r="C10" s="43"/>
      <c r="D10" s="38">
        <v>91.09</v>
      </c>
      <c r="E10" s="41">
        <v>138.5</v>
      </c>
      <c r="F10" s="38">
        <v>243.19</v>
      </c>
      <c r="G10" s="41">
        <v>157</v>
      </c>
      <c r="H10" s="114">
        <v>382.36</v>
      </c>
      <c r="I10" s="43">
        <v>318.9</v>
      </c>
      <c r="J10" s="114">
        <v>291.14</v>
      </c>
      <c r="K10" s="43">
        <v>233.1</v>
      </c>
      <c r="L10" s="38"/>
      <c r="M10" s="43"/>
      <c r="N10" s="38"/>
      <c r="O10" s="43"/>
      <c r="P10" s="38">
        <v>209.68</v>
      </c>
      <c r="Q10" s="43">
        <v>115.4</v>
      </c>
      <c r="R10" s="38"/>
      <c r="S10" s="43"/>
      <c r="T10" s="38"/>
      <c r="U10" s="43"/>
    </row>
    <row r="11" spans="1:21" ht="15">
      <c r="A11" s="2" t="s">
        <v>13</v>
      </c>
      <c r="B11" s="35"/>
      <c r="C11" s="43"/>
      <c r="D11" s="38"/>
      <c r="E11" s="41"/>
      <c r="F11" s="38">
        <v>0</v>
      </c>
      <c r="G11" s="41">
        <v>0</v>
      </c>
      <c r="H11" s="114"/>
      <c r="I11" s="43"/>
      <c r="J11" s="114">
        <v>164.27</v>
      </c>
      <c r="K11" s="43">
        <v>158.1</v>
      </c>
      <c r="L11" s="38">
        <v>233.72</v>
      </c>
      <c r="M11" s="43">
        <v>205.2</v>
      </c>
      <c r="N11" s="38">
        <v>108.73</v>
      </c>
      <c r="O11" s="43">
        <v>83.7</v>
      </c>
      <c r="P11" s="38"/>
      <c r="Q11" s="43"/>
      <c r="R11" s="38"/>
      <c r="S11" s="43"/>
      <c r="T11" s="38"/>
      <c r="U11" s="43"/>
    </row>
    <row r="12" spans="1:21" ht="15">
      <c r="A12" s="2" t="s">
        <v>14</v>
      </c>
      <c r="B12" s="35"/>
      <c r="C12" s="43"/>
      <c r="D12" s="38">
        <v>54.34</v>
      </c>
      <c r="E12" s="41">
        <v>82.6</v>
      </c>
      <c r="F12" s="38">
        <v>0</v>
      </c>
      <c r="G12" s="41">
        <v>0</v>
      </c>
      <c r="H12" s="114">
        <v>220.95</v>
      </c>
      <c r="I12" s="43">
        <v>176.9</v>
      </c>
      <c r="J12" s="114">
        <v>155.63</v>
      </c>
      <c r="K12" s="43">
        <v>124.6</v>
      </c>
      <c r="L12" s="38"/>
      <c r="M12" s="43"/>
      <c r="N12" s="38"/>
      <c r="O12" s="43"/>
      <c r="P12" s="38">
        <v>110.84</v>
      </c>
      <c r="Q12" s="43">
        <v>61</v>
      </c>
      <c r="R12" s="38"/>
      <c r="S12" s="43"/>
      <c r="T12" s="38"/>
      <c r="U12" s="43"/>
    </row>
    <row r="13" spans="1:21" ht="15">
      <c r="A13" s="2" t="s">
        <v>15</v>
      </c>
      <c r="B13" s="35"/>
      <c r="C13" s="43"/>
      <c r="D13" s="38"/>
      <c r="E13" s="41"/>
      <c r="F13" s="38">
        <v>0</v>
      </c>
      <c r="G13" s="41">
        <v>0</v>
      </c>
      <c r="H13" s="114"/>
      <c r="I13" s="43"/>
      <c r="J13" s="114">
        <v>0</v>
      </c>
      <c r="K13" s="43">
        <v>0</v>
      </c>
      <c r="L13" s="38"/>
      <c r="M13" s="43"/>
      <c r="N13" s="38"/>
      <c r="O13" s="43"/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/>
      <c r="C14" s="43"/>
      <c r="D14" s="38"/>
      <c r="E14" s="41"/>
      <c r="F14" s="38">
        <v>34.19</v>
      </c>
      <c r="G14" s="41">
        <v>34.4</v>
      </c>
      <c r="H14" s="114">
        <v>36.16</v>
      </c>
      <c r="I14" s="43">
        <v>34.8</v>
      </c>
      <c r="J14" s="114">
        <v>0</v>
      </c>
      <c r="K14" s="43">
        <v>0</v>
      </c>
      <c r="L14" s="38"/>
      <c r="M14" s="43"/>
      <c r="N14" s="38"/>
      <c r="O14" s="43"/>
      <c r="P14" s="38"/>
      <c r="Q14" s="43"/>
      <c r="R14" s="38"/>
      <c r="S14" s="43"/>
      <c r="T14" s="38"/>
      <c r="U14" s="43"/>
    </row>
    <row r="15" spans="1:21" ht="15">
      <c r="A15" s="2" t="s">
        <v>17</v>
      </c>
      <c r="B15" s="35"/>
      <c r="C15" s="43"/>
      <c r="D15" s="38"/>
      <c r="E15" s="41"/>
      <c r="F15" s="38">
        <v>0</v>
      </c>
      <c r="G15" s="41">
        <v>0</v>
      </c>
      <c r="H15" s="114"/>
      <c r="I15" s="43"/>
      <c r="J15" s="114">
        <v>0</v>
      </c>
      <c r="K15" s="43">
        <v>0</v>
      </c>
      <c r="L15" s="38"/>
      <c r="M15" s="43"/>
      <c r="N15" s="38"/>
      <c r="O15" s="43"/>
      <c r="P15" s="38"/>
      <c r="Q15" s="43"/>
      <c r="R15" s="38"/>
      <c r="S15" s="43"/>
      <c r="T15" s="38"/>
      <c r="U15" s="43"/>
    </row>
    <row r="16" spans="1:21" ht="15">
      <c r="A16" s="2" t="s">
        <v>18</v>
      </c>
      <c r="B16" s="35"/>
      <c r="C16" s="43"/>
      <c r="D16" s="38"/>
      <c r="E16" s="41"/>
      <c r="F16" s="38">
        <v>140.55</v>
      </c>
      <c r="G16" s="41">
        <v>141.4</v>
      </c>
      <c r="H16" s="114"/>
      <c r="I16" s="43"/>
      <c r="J16" s="114">
        <v>23.01</v>
      </c>
      <c r="K16" s="43">
        <v>20.2</v>
      </c>
      <c r="L16" s="38"/>
      <c r="M16" s="43"/>
      <c r="N16" s="38"/>
      <c r="O16" s="43"/>
      <c r="P16" s="38"/>
      <c r="Q16" s="43"/>
      <c r="R16" s="38"/>
      <c r="S16" s="43"/>
      <c r="T16" s="38"/>
      <c r="U16" s="43"/>
    </row>
    <row r="17" spans="1:21" ht="15">
      <c r="A17" s="2" t="s">
        <v>19</v>
      </c>
      <c r="B17" s="35"/>
      <c r="C17" s="43"/>
      <c r="D17" s="38">
        <v>35.56</v>
      </c>
      <c r="E17" s="41">
        <v>40.3</v>
      </c>
      <c r="F17" s="38">
        <v>180.75</v>
      </c>
      <c r="G17" s="41">
        <v>158</v>
      </c>
      <c r="H17" s="114">
        <v>77.81</v>
      </c>
      <c r="I17" s="43">
        <v>62.3</v>
      </c>
      <c r="J17" s="114">
        <v>0</v>
      </c>
      <c r="K17" s="43">
        <v>0</v>
      </c>
      <c r="L17" s="38">
        <v>190.3</v>
      </c>
      <c r="M17" s="43">
        <v>146.5</v>
      </c>
      <c r="N17" s="38">
        <v>113.93</v>
      </c>
      <c r="O17" s="43">
        <v>62.7</v>
      </c>
      <c r="P17" s="192">
        <v>274.95</v>
      </c>
      <c r="Q17" s="193">
        <v>119.7</v>
      </c>
      <c r="R17" s="38"/>
      <c r="S17" s="43"/>
      <c r="T17" s="38"/>
      <c r="U17" s="43"/>
    </row>
    <row r="18" spans="1:21" ht="15.75" thickBot="1">
      <c r="A18" s="2" t="s">
        <v>20</v>
      </c>
      <c r="B18" s="99">
        <v>242</v>
      </c>
      <c r="C18" s="86">
        <v>58.8</v>
      </c>
      <c r="D18" s="38">
        <v>234.05</v>
      </c>
      <c r="E18" s="41">
        <v>274.2</v>
      </c>
      <c r="F18" s="38">
        <v>150.55</v>
      </c>
      <c r="G18" s="41">
        <v>131.6</v>
      </c>
      <c r="H18" s="116">
        <v>362.18</v>
      </c>
      <c r="I18" s="86">
        <v>327</v>
      </c>
      <c r="J18" s="116">
        <v>152.17</v>
      </c>
      <c r="K18" s="86">
        <v>133.6</v>
      </c>
      <c r="L18" s="38">
        <v>286.56</v>
      </c>
      <c r="M18" s="43">
        <v>220.6</v>
      </c>
      <c r="N18" s="38">
        <v>170.07</v>
      </c>
      <c r="O18" s="43">
        <v>93.6</v>
      </c>
      <c r="P18" s="38">
        <v>317.22</v>
      </c>
      <c r="Q18" s="43">
        <v>138.1</v>
      </c>
      <c r="R18" s="38"/>
      <c r="S18" s="43"/>
      <c r="T18" s="38"/>
      <c r="U18" s="43"/>
    </row>
    <row r="19" spans="1:21" s="1" customFormat="1" ht="15.75" thickBot="1">
      <c r="A19" s="2" t="s">
        <v>21</v>
      </c>
      <c r="B19" s="37">
        <f>SUM(B7:B18)</f>
        <v>242</v>
      </c>
      <c r="C19" s="52">
        <f>SUM(C6:C18)</f>
        <v>58.8</v>
      </c>
      <c r="D19" s="93">
        <f aca="true" t="shared" si="0" ref="D19:I19">SUM(D7:D18)</f>
        <v>705.7800000000001</v>
      </c>
      <c r="E19" s="94">
        <f t="shared" si="0"/>
        <v>990.6999999999998</v>
      </c>
      <c r="F19" s="93">
        <f t="shared" si="0"/>
        <v>1153.1699999999998</v>
      </c>
      <c r="G19" s="94">
        <f t="shared" si="0"/>
        <v>963.9</v>
      </c>
      <c r="H19" s="117">
        <f t="shared" si="0"/>
        <v>1900.8600000000001</v>
      </c>
      <c r="I19" s="52">
        <f t="shared" si="0"/>
        <v>1679.3</v>
      </c>
      <c r="J19" s="117">
        <f aca="true" t="shared" si="1" ref="J19:O19">SUM(J7:J18)</f>
        <v>1135.74</v>
      </c>
      <c r="K19" s="52">
        <f t="shared" si="1"/>
        <v>1006.0000000000001</v>
      </c>
      <c r="L19" s="133">
        <f t="shared" si="1"/>
        <v>907.4200000000001</v>
      </c>
      <c r="M19" s="89">
        <f t="shared" si="1"/>
        <v>763.4</v>
      </c>
      <c r="N19" s="133">
        <f t="shared" si="1"/>
        <v>1034.05</v>
      </c>
      <c r="O19" s="89">
        <f t="shared" si="1"/>
        <v>733.7000000000002</v>
      </c>
      <c r="P19" s="133">
        <f aca="true" t="shared" si="2" ref="P19:U19">SUM(P7:P18)</f>
        <v>1457.6000000000001</v>
      </c>
      <c r="Q19" s="89">
        <f t="shared" si="2"/>
        <v>734.1</v>
      </c>
      <c r="R19" s="133">
        <f t="shared" si="2"/>
        <v>869.91</v>
      </c>
      <c r="S19" s="89">
        <f t="shared" si="2"/>
        <v>378.7</v>
      </c>
      <c r="T19" s="133">
        <f t="shared" si="2"/>
        <v>0</v>
      </c>
      <c r="U19" s="89">
        <f t="shared" si="2"/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U19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U9" sqref="U9"/>
    </sheetView>
  </sheetViews>
  <sheetFormatPr defaultColWidth="11.5546875" defaultRowHeight="15"/>
  <cols>
    <col min="1" max="1" width="14.3359375" style="3" bestFit="1" customWidth="1"/>
    <col min="2" max="2" width="8.88671875" style="8" customWidth="1"/>
    <col min="3" max="3" width="8.6640625" style="0" customWidth="1"/>
    <col min="4" max="4" width="8.88671875" style="8" customWidth="1"/>
    <col min="5" max="7" width="8.6640625" style="0" customWidth="1"/>
    <col min="8" max="8" width="10.3359375" style="111" bestFit="1" customWidth="1"/>
    <col min="9" max="9" width="8.6640625" style="0" customWidth="1"/>
    <col min="10" max="10" width="11.10546875" style="0" customWidth="1"/>
    <col min="11" max="11" width="8.6640625" style="0" customWidth="1"/>
    <col min="12" max="12" width="10.10546875" style="0" customWidth="1"/>
    <col min="13" max="13" width="8.6640625" style="0" customWidth="1"/>
    <col min="14" max="14" width="9.6640625" style="0" bestFit="1" customWidth="1"/>
    <col min="15" max="15" width="8.6640625" style="0" customWidth="1"/>
    <col min="16" max="16" width="9.4453125" style="0" customWidth="1"/>
    <col min="17" max="17" width="8.6640625" style="0" customWidth="1"/>
    <col min="18" max="18" width="9.6640625" style="0" customWidth="1"/>
    <col min="19" max="19" width="8.6640625" style="0" customWidth="1"/>
    <col min="20" max="20" width="8.6640625" style="0" bestFit="1" customWidth="1"/>
    <col min="21" max="16384" width="8.6640625" style="0" customWidth="1"/>
  </cols>
  <sheetData>
    <row r="1" ht="15">
      <c r="A1" s="153" t="s">
        <v>32</v>
      </c>
    </row>
    <row r="2" ht="15.75" thickBot="1"/>
    <row r="3" spans="1:21" s="11" customFormat="1" ht="16.5">
      <c r="A3" s="166"/>
      <c r="B3" s="45">
        <v>1998</v>
      </c>
      <c r="C3" s="53"/>
      <c r="D3" s="26">
        <v>1999</v>
      </c>
      <c r="E3" s="28"/>
      <c r="F3" s="26">
        <v>2000</v>
      </c>
      <c r="G3" s="28"/>
      <c r="H3" s="118">
        <v>2001</v>
      </c>
      <c r="I3" s="53"/>
      <c r="J3" s="118" t="s">
        <v>33</v>
      </c>
      <c r="K3" s="53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5" customFormat="1" ht="15">
      <c r="A4" s="4"/>
      <c r="B4" s="32" t="s">
        <v>5</v>
      </c>
      <c r="C4" s="34"/>
      <c r="D4" s="29" t="s">
        <v>5</v>
      </c>
      <c r="E4" s="31"/>
      <c r="F4" s="29" t="s">
        <v>5</v>
      </c>
      <c r="G4" s="31"/>
      <c r="H4" s="112" t="s">
        <v>5</v>
      </c>
      <c r="I4" s="34"/>
      <c r="J4" s="112" t="s">
        <v>5</v>
      </c>
      <c r="K4" s="34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5" customFormat="1" ht="15">
      <c r="A5" s="4" t="s">
        <v>22</v>
      </c>
      <c r="B5" s="32" t="s">
        <v>8</v>
      </c>
      <c r="C5" s="34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112" t="s">
        <v>8</v>
      </c>
      <c r="I5" s="34" t="s">
        <v>7</v>
      </c>
      <c r="J5" s="112" t="s">
        <v>8</v>
      </c>
      <c r="K5" s="34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32"/>
      <c r="C6" s="34"/>
      <c r="D6" s="32"/>
      <c r="E6" s="34"/>
      <c r="F6" s="32"/>
      <c r="G6" s="34"/>
      <c r="H6" s="112"/>
      <c r="I6" s="34"/>
      <c r="J6" s="112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/>
      <c r="C7" s="43"/>
      <c r="D7" s="38">
        <v>46.12</v>
      </c>
      <c r="E7" s="41">
        <v>86.3</v>
      </c>
      <c r="F7" s="38">
        <v>114.73</v>
      </c>
      <c r="G7" s="41">
        <v>131.4</v>
      </c>
      <c r="H7" s="113">
        <v>208.35</v>
      </c>
      <c r="I7" s="43">
        <v>209.6</v>
      </c>
      <c r="J7" s="113">
        <v>219.65</v>
      </c>
      <c r="K7" s="43">
        <v>211.4</v>
      </c>
      <c r="L7" s="38">
        <v>217.94</v>
      </c>
      <c r="M7" s="43">
        <v>232.1</v>
      </c>
      <c r="N7" s="38">
        <v>145.07</v>
      </c>
      <c r="O7" s="43">
        <v>132</v>
      </c>
      <c r="P7" s="38"/>
      <c r="Q7" s="43"/>
      <c r="R7" s="38">
        <v>300.5</v>
      </c>
      <c r="S7" s="43">
        <v>143.3</v>
      </c>
      <c r="T7" s="38">
        <v>253.38</v>
      </c>
      <c r="U7" s="43">
        <v>103</v>
      </c>
    </row>
    <row r="8" spans="1:21" ht="15">
      <c r="A8" s="2" t="s">
        <v>10</v>
      </c>
      <c r="B8" s="35"/>
      <c r="C8" s="43"/>
      <c r="D8" s="38">
        <v>72.09</v>
      </c>
      <c r="E8" s="41">
        <v>151.9</v>
      </c>
      <c r="F8" s="38">
        <v>199.07</v>
      </c>
      <c r="G8" s="41">
        <v>203.4</v>
      </c>
      <c r="H8" s="113">
        <v>105.76</v>
      </c>
      <c r="I8" s="83">
        <v>106.4</v>
      </c>
      <c r="J8" s="113">
        <v>135.07</v>
      </c>
      <c r="K8" s="83">
        <v>130</v>
      </c>
      <c r="L8" s="38"/>
      <c r="M8" s="43"/>
      <c r="N8" s="38">
        <v>153.42</v>
      </c>
      <c r="O8" s="43">
        <v>139.6</v>
      </c>
      <c r="P8" s="38"/>
      <c r="Q8" s="43"/>
      <c r="R8" s="38"/>
      <c r="S8" s="43"/>
      <c r="T8" s="38">
        <v>373.43</v>
      </c>
      <c r="U8" s="43">
        <v>151.8</v>
      </c>
    </row>
    <row r="9" spans="1:21" ht="15">
      <c r="A9" s="2" t="s">
        <v>11</v>
      </c>
      <c r="B9" s="35"/>
      <c r="C9" s="43"/>
      <c r="D9" s="38"/>
      <c r="E9" s="41"/>
      <c r="F9" s="38">
        <v>0</v>
      </c>
      <c r="G9" s="41">
        <v>0</v>
      </c>
      <c r="H9" s="114">
        <v>208.54</v>
      </c>
      <c r="I9" s="43">
        <v>209.8</v>
      </c>
      <c r="J9" s="114">
        <v>0</v>
      </c>
      <c r="K9" s="43">
        <v>0</v>
      </c>
      <c r="L9" s="38">
        <v>175.5</v>
      </c>
      <c r="M9" s="43">
        <v>186.9</v>
      </c>
      <c r="N9" s="38"/>
      <c r="O9" s="43"/>
      <c r="P9" s="38">
        <v>270.85</v>
      </c>
      <c r="Q9" s="43">
        <v>167.5</v>
      </c>
      <c r="R9" s="38">
        <v>312.45</v>
      </c>
      <c r="S9" s="43">
        <v>149</v>
      </c>
      <c r="T9" s="38">
        <v>343.91</v>
      </c>
      <c r="U9" s="43">
        <v>139.8</v>
      </c>
    </row>
    <row r="10" spans="1:17" ht="15">
      <c r="A10" s="2" t="s">
        <v>23</v>
      </c>
      <c r="B10" s="35"/>
      <c r="C10" s="43"/>
      <c r="D10" s="38">
        <v>71.77</v>
      </c>
      <c r="E10" s="41">
        <v>121.3</v>
      </c>
      <c r="F10" s="38">
        <v>225.47</v>
      </c>
      <c r="G10" s="41">
        <v>222.2</v>
      </c>
      <c r="H10" s="114"/>
      <c r="I10" s="43"/>
      <c r="J10" s="114">
        <v>180.06</v>
      </c>
      <c r="K10" s="43">
        <v>173.3</v>
      </c>
      <c r="L10" s="38">
        <v>139.16</v>
      </c>
      <c r="M10" s="43">
        <v>148.2</v>
      </c>
      <c r="N10" s="38">
        <v>195.84</v>
      </c>
      <c r="O10" s="43">
        <v>178.2</v>
      </c>
      <c r="P10" s="38">
        <v>255</v>
      </c>
      <c r="Q10" s="43">
        <v>157.7</v>
      </c>
    </row>
    <row r="11" spans="1:21" ht="15">
      <c r="A11" s="2" t="s">
        <v>13</v>
      </c>
      <c r="B11" s="35"/>
      <c r="C11" s="43"/>
      <c r="D11" s="38"/>
      <c r="E11" s="41"/>
      <c r="F11" s="38">
        <v>0</v>
      </c>
      <c r="G11" s="41">
        <v>0</v>
      </c>
      <c r="H11" s="114">
        <v>174.55</v>
      </c>
      <c r="I11" s="43">
        <v>168</v>
      </c>
      <c r="J11" s="114">
        <v>176.01</v>
      </c>
      <c r="K11" s="43">
        <v>169.4</v>
      </c>
      <c r="L11" s="38"/>
      <c r="M11" s="43"/>
      <c r="N11" s="38"/>
      <c r="O11" s="43"/>
      <c r="P11" s="38"/>
      <c r="Q11" s="43"/>
      <c r="R11" s="38">
        <v>325.87</v>
      </c>
      <c r="S11" s="43">
        <v>155.4</v>
      </c>
      <c r="T11" s="38"/>
      <c r="U11" s="43"/>
    </row>
    <row r="12" spans="1:21" ht="15">
      <c r="A12" s="2" t="s">
        <v>14</v>
      </c>
      <c r="B12" s="35"/>
      <c r="C12" s="43"/>
      <c r="D12" s="38">
        <v>90.27</v>
      </c>
      <c r="E12" s="41">
        <v>153.1</v>
      </c>
      <c r="F12" s="38">
        <v>71.21</v>
      </c>
      <c r="G12" s="41">
        <v>74.2</v>
      </c>
      <c r="H12" s="114">
        <v>20.16</v>
      </c>
      <c r="I12" s="43">
        <v>19.4</v>
      </c>
      <c r="J12" s="114">
        <v>0</v>
      </c>
      <c r="K12" s="43">
        <v>0</v>
      </c>
      <c r="L12" s="38">
        <v>180.9</v>
      </c>
      <c r="M12" s="43">
        <v>164.6</v>
      </c>
      <c r="N12" s="38">
        <v>125.95</v>
      </c>
      <c r="O12" s="43">
        <v>114.6</v>
      </c>
      <c r="P12" s="38">
        <v>133.73</v>
      </c>
      <c r="Q12" s="43">
        <v>82.7</v>
      </c>
      <c r="R12" s="38">
        <v>40.47</v>
      </c>
      <c r="S12" s="43">
        <v>19.3</v>
      </c>
      <c r="T12" s="38"/>
      <c r="U12" s="43"/>
    </row>
    <row r="13" spans="1:21" ht="15">
      <c r="A13" s="2" t="s">
        <v>15</v>
      </c>
      <c r="B13" s="35"/>
      <c r="C13" s="43"/>
      <c r="D13" s="38"/>
      <c r="E13" s="41"/>
      <c r="F13" s="38">
        <v>0</v>
      </c>
      <c r="G13" s="41">
        <v>0</v>
      </c>
      <c r="H13" s="114"/>
      <c r="I13" s="43"/>
      <c r="J13" s="114">
        <v>0</v>
      </c>
      <c r="K13" s="43">
        <v>0</v>
      </c>
      <c r="L13" s="38"/>
      <c r="M13" s="43"/>
      <c r="N13" s="38"/>
      <c r="O13" s="43"/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/>
      <c r="C14" s="43"/>
      <c r="D14" s="38">
        <v>69.7</v>
      </c>
      <c r="E14" s="41">
        <v>95</v>
      </c>
      <c r="F14" s="38">
        <v>58.84</v>
      </c>
      <c r="G14" s="41">
        <v>59.2</v>
      </c>
      <c r="H14" s="114">
        <v>68.99</v>
      </c>
      <c r="I14" s="43">
        <v>66.4</v>
      </c>
      <c r="J14" s="114">
        <v>48.92</v>
      </c>
      <c r="K14" s="43">
        <v>52.1</v>
      </c>
      <c r="L14" s="38"/>
      <c r="M14" s="43"/>
      <c r="N14" s="38">
        <v>48.58</v>
      </c>
      <c r="O14" s="43">
        <v>44.2</v>
      </c>
      <c r="P14" s="38">
        <v>81.57</v>
      </c>
      <c r="Q14" s="43">
        <v>38.9</v>
      </c>
      <c r="R14" s="38">
        <v>136.04</v>
      </c>
      <c r="S14" s="43">
        <v>55.3</v>
      </c>
      <c r="T14" s="38"/>
      <c r="U14" s="43"/>
    </row>
    <row r="15" spans="1:21" ht="15">
      <c r="A15" s="2" t="s">
        <v>17</v>
      </c>
      <c r="B15" s="35"/>
      <c r="C15" s="43"/>
      <c r="D15" s="38"/>
      <c r="E15" s="41"/>
      <c r="F15" s="38">
        <v>0</v>
      </c>
      <c r="G15" s="41">
        <v>0</v>
      </c>
      <c r="H15" s="114"/>
      <c r="I15" s="43"/>
      <c r="J15" s="114">
        <v>0</v>
      </c>
      <c r="K15" s="43">
        <v>0</v>
      </c>
      <c r="L15" s="38">
        <v>69.24</v>
      </c>
      <c r="M15" s="43">
        <v>63</v>
      </c>
      <c r="N15" s="38"/>
      <c r="O15" s="43"/>
      <c r="P15" s="38"/>
      <c r="Q15" s="43"/>
      <c r="R15" s="38"/>
      <c r="S15" s="43"/>
      <c r="T15" s="38"/>
      <c r="U15" s="43"/>
    </row>
    <row r="16" spans="1:21" ht="15">
      <c r="A16" s="2" t="s">
        <v>18</v>
      </c>
      <c r="B16" s="35">
        <v>45.23</v>
      </c>
      <c r="C16" s="43">
        <v>93.4</v>
      </c>
      <c r="D16" s="38"/>
      <c r="E16" s="41"/>
      <c r="F16" s="38">
        <v>0</v>
      </c>
      <c r="G16" s="41">
        <v>0</v>
      </c>
      <c r="H16" s="114"/>
      <c r="I16" s="43"/>
      <c r="J16" s="114">
        <v>0</v>
      </c>
      <c r="K16" s="43">
        <v>0</v>
      </c>
      <c r="L16" s="38"/>
      <c r="M16" s="43"/>
      <c r="N16" s="38"/>
      <c r="O16" s="43"/>
      <c r="P16" s="38"/>
      <c r="Q16" s="43"/>
      <c r="R16" s="38"/>
      <c r="S16" s="43"/>
      <c r="T16" s="38"/>
      <c r="U16" s="43"/>
    </row>
    <row r="17" spans="1:21" ht="15">
      <c r="A17" s="2" t="s">
        <v>19</v>
      </c>
      <c r="B17" s="35">
        <v>14.16</v>
      </c>
      <c r="C17" s="43">
        <v>25.4</v>
      </c>
      <c r="D17" s="38">
        <v>109.21</v>
      </c>
      <c r="E17" s="41">
        <v>139.6</v>
      </c>
      <c r="F17" s="38">
        <v>0</v>
      </c>
      <c r="G17" s="41">
        <v>0</v>
      </c>
      <c r="H17" s="114">
        <v>162.4</v>
      </c>
      <c r="I17" s="43">
        <v>156.3</v>
      </c>
      <c r="J17" s="114">
        <v>130.8</v>
      </c>
      <c r="K17" s="43">
        <v>139.3</v>
      </c>
      <c r="L17" s="38">
        <v>194.3</v>
      </c>
      <c r="M17" s="43">
        <v>176.8</v>
      </c>
      <c r="N17" s="38">
        <v>203.1</v>
      </c>
      <c r="O17" s="43">
        <v>125.6</v>
      </c>
      <c r="P17" s="38">
        <v>277.85</v>
      </c>
      <c r="Q17" s="43">
        <v>132.5</v>
      </c>
      <c r="R17" s="38"/>
      <c r="S17" s="43"/>
      <c r="T17" s="38"/>
      <c r="U17" s="43"/>
    </row>
    <row r="18" spans="1:21" ht="15.75" thickBot="1">
      <c r="A18" s="2" t="s">
        <v>20</v>
      </c>
      <c r="B18" s="99">
        <v>84.15</v>
      </c>
      <c r="C18" s="86">
        <v>167.9</v>
      </c>
      <c r="D18" s="38">
        <v>17.52</v>
      </c>
      <c r="E18" s="41">
        <v>20.8</v>
      </c>
      <c r="F18" s="38">
        <v>141.25</v>
      </c>
      <c r="G18" s="41">
        <v>142.1</v>
      </c>
      <c r="H18" s="114">
        <v>96</v>
      </c>
      <c r="I18" s="43">
        <v>92.4</v>
      </c>
      <c r="J18" s="114">
        <v>129.11</v>
      </c>
      <c r="K18" s="43">
        <v>137.5</v>
      </c>
      <c r="L18" s="38">
        <v>180.79</v>
      </c>
      <c r="M18" s="43">
        <v>164.5</v>
      </c>
      <c r="N18" s="38">
        <v>245.95</v>
      </c>
      <c r="O18" s="43">
        <v>152.1</v>
      </c>
      <c r="P18" s="38">
        <v>264.43</v>
      </c>
      <c r="Q18" s="43">
        <v>126.1</v>
      </c>
      <c r="R18" s="38">
        <v>390.16</v>
      </c>
      <c r="S18" s="43">
        <v>158.6</v>
      </c>
      <c r="T18" s="38"/>
      <c r="U18" s="43"/>
    </row>
    <row r="19" spans="1:21" s="1" customFormat="1" ht="15.75" thickBot="1">
      <c r="A19" s="2" t="s">
        <v>21</v>
      </c>
      <c r="B19" s="37">
        <f aca="true" t="shared" si="0" ref="B19:G19">SUM(B7:B18)</f>
        <v>143.54000000000002</v>
      </c>
      <c r="C19" s="56">
        <f t="shared" si="0"/>
        <v>286.70000000000005</v>
      </c>
      <c r="D19" s="93">
        <f t="shared" si="0"/>
        <v>476.67999999999995</v>
      </c>
      <c r="E19" s="94">
        <f t="shared" si="0"/>
        <v>768</v>
      </c>
      <c r="F19" s="93">
        <f t="shared" si="0"/>
        <v>810.57</v>
      </c>
      <c r="G19" s="94">
        <f t="shared" si="0"/>
        <v>832.5000000000001</v>
      </c>
      <c r="H19" s="117">
        <f aca="true" t="shared" si="1" ref="H19:M19">SUM(H7:H18)</f>
        <v>1044.75</v>
      </c>
      <c r="I19" s="52">
        <f t="shared" si="1"/>
        <v>1028.3</v>
      </c>
      <c r="J19" s="117">
        <f t="shared" si="1"/>
        <v>1019.62</v>
      </c>
      <c r="K19" s="52">
        <f t="shared" si="1"/>
        <v>1013</v>
      </c>
      <c r="L19" s="133">
        <f t="shared" si="1"/>
        <v>1157.83</v>
      </c>
      <c r="M19" s="89">
        <f t="shared" si="1"/>
        <v>1136.1000000000001</v>
      </c>
      <c r="N19" s="133">
        <f aca="true" t="shared" si="2" ref="N19:S19">SUM(N7:N18)</f>
        <v>1117.91</v>
      </c>
      <c r="O19" s="89">
        <f t="shared" si="2"/>
        <v>886.3000000000001</v>
      </c>
      <c r="P19" s="133">
        <f t="shared" si="2"/>
        <v>1283.43</v>
      </c>
      <c r="Q19" s="89">
        <f t="shared" si="2"/>
        <v>705.4</v>
      </c>
      <c r="R19" s="133">
        <f t="shared" si="2"/>
        <v>1505.4900000000002</v>
      </c>
      <c r="S19" s="89">
        <f t="shared" si="2"/>
        <v>680.9000000000001</v>
      </c>
      <c r="T19" s="133">
        <f>SUM(T7:T18)</f>
        <v>970.72</v>
      </c>
      <c r="U19" s="89">
        <f>SUM(U7:U18)</f>
        <v>394.6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U19"/>
  <sheetViews>
    <sheetView zoomScale="75" zoomScaleNormal="75" workbookViewId="0" topLeftCell="A6">
      <pane xSplit="1" topLeftCell="B1" activePane="topRight" state="frozen"/>
      <selection pane="topLeft" activeCell="A1" sqref="A1"/>
      <selection pane="topRight" activeCell="U10" sqref="U10"/>
    </sheetView>
  </sheetViews>
  <sheetFormatPr defaultColWidth="11.5546875" defaultRowHeight="15"/>
  <cols>
    <col min="1" max="1" width="9.5546875" style="3" bestFit="1" customWidth="1"/>
    <col min="2" max="2" width="8.88671875" style="8" customWidth="1"/>
    <col min="3" max="3" width="8.6640625" style="0" customWidth="1"/>
    <col min="4" max="4" width="8.88671875" style="8" customWidth="1"/>
    <col min="5" max="5" width="8.6640625" style="0" customWidth="1"/>
    <col min="6" max="6" width="10.10546875" style="0" customWidth="1"/>
    <col min="7" max="7" width="8.6640625" style="0" customWidth="1"/>
    <col min="8" max="8" width="10.3359375" style="111" bestFit="1" customWidth="1"/>
    <col min="9" max="9" width="8.6640625" style="0" customWidth="1"/>
    <col min="10" max="10" width="10.10546875" style="0" customWidth="1"/>
    <col min="11" max="11" width="8.6640625" style="0" customWidth="1"/>
    <col min="12" max="12" width="9.88671875" style="0" customWidth="1"/>
    <col min="13" max="13" width="8.6640625" style="0" customWidth="1"/>
    <col min="14" max="14" width="9.6640625" style="0" bestFit="1" customWidth="1"/>
    <col min="15" max="15" width="8.6640625" style="0" customWidth="1"/>
    <col min="16" max="16" width="9.88671875" style="0" customWidth="1"/>
    <col min="17" max="17" width="8.6640625" style="0" customWidth="1"/>
    <col min="18" max="18" width="10.10546875" style="0" customWidth="1"/>
    <col min="19" max="19" width="8.6640625" style="0" customWidth="1"/>
    <col min="20" max="20" width="9.6640625" style="0" bestFit="1" customWidth="1"/>
    <col min="21" max="16384" width="8.6640625" style="0" customWidth="1"/>
  </cols>
  <sheetData>
    <row r="2" ht="15.75" thickBot="1">
      <c r="A2" s="153" t="s">
        <v>32</v>
      </c>
    </row>
    <row r="3" spans="1:21" s="11" customFormat="1" ht="16.5">
      <c r="A3" s="156"/>
      <c r="B3" s="45">
        <v>1998</v>
      </c>
      <c r="C3" s="53"/>
      <c r="D3" s="26">
        <v>1999</v>
      </c>
      <c r="E3" s="28"/>
      <c r="F3" s="26">
        <v>2000</v>
      </c>
      <c r="G3" s="28"/>
      <c r="H3" s="118">
        <v>2001</v>
      </c>
      <c r="I3" s="53"/>
      <c r="J3" s="118" t="s">
        <v>33</v>
      </c>
      <c r="K3" s="53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5" customFormat="1" ht="15">
      <c r="A4" s="4"/>
      <c r="B4" s="32" t="s">
        <v>5</v>
      </c>
      <c r="C4" s="34"/>
      <c r="D4" s="29" t="s">
        <v>5</v>
      </c>
      <c r="E4" s="31"/>
      <c r="F4" s="29" t="s">
        <v>5</v>
      </c>
      <c r="G4" s="31"/>
      <c r="H4" s="112" t="s">
        <v>5</v>
      </c>
      <c r="I4" s="34"/>
      <c r="J4" s="112" t="s">
        <v>5</v>
      </c>
      <c r="K4" s="34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5" customFormat="1" ht="15">
      <c r="A5" s="4" t="s">
        <v>22</v>
      </c>
      <c r="B5" s="32" t="s">
        <v>8</v>
      </c>
      <c r="C5" s="34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112" t="s">
        <v>8</v>
      </c>
      <c r="I5" s="34" t="s">
        <v>7</v>
      </c>
      <c r="J5" s="112" t="s">
        <v>8</v>
      </c>
      <c r="K5" s="34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32"/>
      <c r="C6" s="34"/>
      <c r="D6" s="32"/>
      <c r="E6" s="34"/>
      <c r="F6" s="32"/>
      <c r="G6" s="34"/>
      <c r="H6" s="112"/>
      <c r="I6" s="34"/>
      <c r="J6" s="112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/>
      <c r="C7" s="43"/>
      <c r="D7" s="38">
        <v>66.48</v>
      </c>
      <c r="E7" s="41">
        <v>124.4</v>
      </c>
      <c r="F7" s="38">
        <v>71.42</v>
      </c>
      <c r="G7" s="41">
        <v>81.8</v>
      </c>
      <c r="H7" s="113">
        <v>113.12</v>
      </c>
      <c r="I7" s="83">
        <v>113.8</v>
      </c>
      <c r="J7" s="113">
        <v>298.3</v>
      </c>
      <c r="K7" s="83">
        <v>287.1</v>
      </c>
      <c r="L7" s="38">
        <v>182.07</v>
      </c>
      <c r="M7" s="43">
        <v>193.9</v>
      </c>
      <c r="N7" s="38">
        <v>138.47</v>
      </c>
      <c r="O7" s="43">
        <v>126</v>
      </c>
      <c r="P7" s="38"/>
      <c r="Q7" s="43"/>
      <c r="R7" s="38">
        <v>290.02</v>
      </c>
      <c r="S7" s="43">
        <v>138.3</v>
      </c>
      <c r="T7" s="38">
        <v>263.96</v>
      </c>
      <c r="U7" s="43">
        <v>107.3</v>
      </c>
    </row>
    <row r="8" spans="1:21" ht="15">
      <c r="A8" s="2" t="s">
        <v>10</v>
      </c>
      <c r="B8" s="35"/>
      <c r="C8" s="43"/>
      <c r="D8" s="38">
        <v>95.44</v>
      </c>
      <c r="E8" s="41">
        <v>201.1</v>
      </c>
      <c r="F8" s="38">
        <v>342.17</v>
      </c>
      <c r="G8" s="41">
        <v>281.2</v>
      </c>
      <c r="H8" s="113">
        <v>147.71</v>
      </c>
      <c r="I8" s="83">
        <v>148.6</v>
      </c>
      <c r="J8" s="113">
        <v>159.8</v>
      </c>
      <c r="K8" s="83">
        <v>153.8</v>
      </c>
      <c r="L8" s="38">
        <v>104.6</v>
      </c>
      <c r="M8" s="43">
        <v>111.4</v>
      </c>
      <c r="N8" s="38">
        <v>154.96</v>
      </c>
      <c r="O8" s="43">
        <v>141</v>
      </c>
      <c r="P8" s="38"/>
      <c r="Q8" s="43"/>
      <c r="R8" s="38"/>
      <c r="S8" s="43"/>
      <c r="T8" s="38">
        <v>342.19</v>
      </c>
      <c r="U8" s="43">
        <v>139.1</v>
      </c>
    </row>
    <row r="9" spans="1:21" ht="15">
      <c r="A9" s="2" t="s">
        <v>11</v>
      </c>
      <c r="B9" s="35"/>
      <c r="C9" s="43"/>
      <c r="D9" s="38"/>
      <c r="E9" s="41"/>
      <c r="F9" s="38">
        <v>0</v>
      </c>
      <c r="G9" s="41">
        <v>0</v>
      </c>
      <c r="H9" s="114">
        <v>260.92</v>
      </c>
      <c r="I9" s="43">
        <v>262.5</v>
      </c>
      <c r="J9" s="114">
        <v>0</v>
      </c>
      <c r="K9" s="43">
        <v>0</v>
      </c>
      <c r="L9" s="38">
        <v>133.62</v>
      </c>
      <c r="M9" s="43">
        <v>142.3</v>
      </c>
      <c r="N9" s="38"/>
      <c r="O9" s="43"/>
      <c r="P9" s="38">
        <v>222.98</v>
      </c>
      <c r="Q9" s="43">
        <v>137.9</v>
      </c>
      <c r="R9" s="38">
        <v>309.1</v>
      </c>
      <c r="S9" s="43">
        <v>147.4</v>
      </c>
      <c r="T9" s="38">
        <v>313.65</v>
      </c>
      <c r="U9" s="43">
        <v>127.5</v>
      </c>
    </row>
    <row r="10" spans="1:21" ht="15">
      <c r="A10" s="2" t="s">
        <v>23</v>
      </c>
      <c r="B10" s="35"/>
      <c r="C10" s="43"/>
      <c r="D10" s="38">
        <v>122.66</v>
      </c>
      <c r="E10" s="41">
        <v>207.3</v>
      </c>
      <c r="F10" s="38">
        <v>228.76</v>
      </c>
      <c r="G10" s="41">
        <v>246.8</v>
      </c>
      <c r="H10" s="114"/>
      <c r="I10" s="43"/>
      <c r="J10" s="114">
        <v>210.81</v>
      </c>
      <c r="K10" s="43">
        <v>202.9</v>
      </c>
      <c r="L10" s="38">
        <v>193.91</v>
      </c>
      <c r="M10" s="43">
        <v>206.5</v>
      </c>
      <c r="N10" s="38">
        <v>197.82</v>
      </c>
      <c r="O10" s="43">
        <v>180</v>
      </c>
      <c r="P10" s="38">
        <v>208.11</v>
      </c>
      <c r="Q10" s="43">
        <v>128.7</v>
      </c>
      <c r="R10" s="38"/>
      <c r="S10" s="43"/>
      <c r="T10" s="38"/>
      <c r="U10" s="43"/>
    </row>
    <row r="11" spans="1:21" ht="15">
      <c r="A11" s="2" t="s">
        <v>13</v>
      </c>
      <c r="B11" s="35"/>
      <c r="C11" s="43"/>
      <c r="D11" s="38"/>
      <c r="E11" s="41"/>
      <c r="F11" s="38">
        <v>0</v>
      </c>
      <c r="G11" s="41">
        <v>0</v>
      </c>
      <c r="H11" s="114">
        <v>207.8</v>
      </c>
      <c r="I11" s="43">
        <v>200</v>
      </c>
      <c r="J11" s="114">
        <v>221.1</v>
      </c>
      <c r="K11" s="43">
        <v>212.8</v>
      </c>
      <c r="L11" s="38"/>
      <c r="M11" s="43"/>
      <c r="N11" s="38"/>
      <c r="O11" s="43"/>
      <c r="P11" s="38"/>
      <c r="Q11" s="43"/>
      <c r="R11" s="38">
        <v>416.46</v>
      </c>
      <c r="S11" s="43">
        <v>198.6</v>
      </c>
      <c r="T11" s="38"/>
      <c r="U11" s="43"/>
    </row>
    <row r="12" spans="1:21" ht="15">
      <c r="A12" s="2" t="s">
        <v>14</v>
      </c>
      <c r="B12" s="35"/>
      <c r="C12" s="43"/>
      <c r="D12" s="38">
        <v>145.22</v>
      </c>
      <c r="E12" s="41">
        <v>246.3</v>
      </c>
      <c r="F12" s="38">
        <v>207.39</v>
      </c>
      <c r="G12" s="41">
        <v>223.1</v>
      </c>
      <c r="H12" s="114">
        <v>30.65</v>
      </c>
      <c r="I12" s="43">
        <v>29.5</v>
      </c>
      <c r="J12" s="114">
        <v>0</v>
      </c>
      <c r="K12" s="43">
        <v>0</v>
      </c>
      <c r="L12" s="38">
        <v>165.07</v>
      </c>
      <c r="M12" s="43">
        <v>150.2</v>
      </c>
      <c r="N12" s="38">
        <v>164.41</v>
      </c>
      <c r="O12" s="43">
        <v>149.6</v>
      </c>
      <c r="P12" s="38">
        <v>99.45</v>
      </c>
      <c r="Q12" s="43">
        <v>61.5</v>
      </c>
      <c r="R12" s="38">
        <v>34.6</v>
      </c>
      <c r="S12" s="43">
        <v>16.5</v>
      </c>
      <c r="T12" s="38"/>
      <c r="U12" s="43"/>
    </row>
    <row r="13" spans="1:21" ht="15">
      <c r="A13" s="2" t="s">
        <v>15</v>
      </c>
      <c r="B13" s="35"/>
      <c r="C13" s="43"/>
      <c r="D13" s="38"/>
      <c r="E13" s="41"/>
      <c r="F13" s="38">
        <v>0</v>
      </c>
      <c r="G13" s="41">
        <v>0</v>
      </c>
      <c r="H13" s="114"/>
      <c r="I13" s="43"/>
      <c r="J13" s="114">
        <v>0</v>
      </c>
      <c r="K13" s="43">
        <v>0</v>
      </c>
      <c r="L13" s="38"/>
      <c r="M13" s="43"/>
      <c r="N13" s="38"/>
      <c r="O13" s="43"/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/>
      <c r="C14" s="43"/>
      <c r="D14" s="38">
        <v>58.84</v>
      </c>
      <c r="E14" s="41">
        <v>80.2</v>
      </c>
      <c r="F14" s="38">
        <v>67.99</v>
      </c>
      <c r="G14" s="41">
        <v>68.4</v>
      </c>
      <c r="H14" s="114">
        <v>89.35</v>
      </c>
      <c r="I14" s="43">
        <v>86</v>
      </c>
      <c r="J14" s="114">
        <v>52.11</v>
      </c>
      <c r="K14" s="43">
        <v>55.5</v>
      </c>
      <c r="L14" s="38"/>
      <c r="M14" s="43"/>
      <c r="N14" s="38">
        <v>45.39</v>
      </c>
      <c r="O14" s="43">
        <v>41.3</v>
      </c>
      <c r="P14" s="38">
        <v>71.3</v>
      </c>
      <c r="Q14" s="43">
        <v>34</v>
      </c>
      <c r="R14" s="38">
        <v>84.38</v>
      </c>
      <c r="S14" s="43">
        <v>34.3</v>
      </c>
      <c r="T14" s="38"/>
      <c r="U14" s="43"/>
    </row>
    <row r="15" spans="1:21" ht="15">
      <c r="A15" s="2" t="s">
        <v>17</v>
      </c>
      <c r="B15" s="35"/>
      <c r="C15" s="43"/>
      <c r="D15" s="38"/>
      <c r="E15" s="41"/>
      <c r="F15" s="38">
        <v>0</v>
      </c>
      <c r="G15" s="41">
        <v>0</v>
      </c>
      <c r="H15" s="114"/>
      <c r="I15" s="43"/>
      <c r="J15" s="114">
        <v>0</v>
      </c>
      <c r="K15" s="43">
        <v>0</v>
      </c>
      <c r="L15" s="38">
        <v>51.21</v>
      </c>
      <c r="M15" s="43">
        <v>46.6</v>
      </c>
      <c r="N15" s="38"/>
      <c r="O15" s="43"/>
      <c r="P15" s="38"/>
      <c r="Q15" s="43"/>
      <c r="R15" s="38"/>
      <c r="S15" s="43"/>
      <c r="T15" s="38"/>
      <c r="U15" s="43"/>
    </row>
    <row r="16" spans="1:21" ht="15">
      <c r="A16" s="2" t="s">
        <v>18</v>
      </c>
      <c r="B16" s="35">
        <v>71.68</v>
      </c>
      <c r="C16" s="43">
        <v>148</v>
      </c>
      <c r="D16" s="38">
        <v>188.91</v>
      </c>
      <c r="E16" s="41">
        <v>247.2</v>
      </c>
      <c r="F16" s="38">
        <v>209.14</v>
      </c>
      <c r="G16" s="41">
        <v>210.4</v>
      </c>
      <c r="H16" s="114"/>
      <c r="I16" s="43"/>
      <c r="J16" s="114">
        <v>0</v>
      </c>
      <c r="K16" s="43">
        <v>0</v>
      </c>
      <c r="L16" s="38">
        <v>94.18</v>
      </c>
      <c r="M16" s="43">
        <v>85.7</v>
      </c>
      <c r="N16" s="38"/>
      <c r="O16" s="43"/>
      <c r="P16" s="38"/>
      <c r="Q16" s="43"/>
      <c r="R16" s="38"/>
      <c r="S16" s="43"/>
      <c r="T16" s="38"/>
      <c r="U16" s="43"/>
    </row>
    <row r="17" spans="1:21" ht="15">
      <c r="A17" s="2" t="s">
        <v>19</v>
      </c>
      <c r="B17" s="35">
        <v>19.96</v>
      </c>
      <c r="C17" s="43">
        <v>35.8</v>
      </c>
      <c r="D17" s="38">
        <v>99.8</v>
      </c>
      <c r="E17" s="41">
        <v>125.6</v>
      </c>
      <c r="F17" s="38">
        <v>142.04</v>
      </c>
      <c r="G17" s="41">
        <v>142.9</v>
      </c>
      <c r="H17" s="114">
        <v>259.33</v>
      </c>
      <c r="I17" s="43">
        <v>249.6</v>
      </c>
      <c r="J17" s="114">
        <v>140.66</v>
      </c>
      <c r="K17" s="43">
        <v>149.8</v>
      </c>
      <c r="L17" s="38">
        <v>188.59</v>
      </c>
      <c r="M17" s="43">
        <v>171.6</v>
      </c>
      <c r="N17" s="38">
        <v>122.41</v>
      </c>
      <c r="O17" s="43">
        <v>75.7</v>
      </c>
      <c r="P17" s="38">
        <v>404.72</v>
      </c>
      <c r="Q17" s="43">
        <v>193</v>
      </c>
      <c r="R17" s="38"/>
      <c r="S17" s="43"/>
      <c r="T17" s="38"/>
      <c r="U17" s="43"/>
    </row>
    <row r="18" spans="1:21" ht="15.75" thickBot="1">
      <c r="A18" s="2" t="s">
        <v>20</v>
      </c>
      <c r="B18" s="99">
        <v>115.79</v>
      </c>
      <c r="C18" s="86">
        <v>231.2</v>
      </c>
      <c r="D18" s="38">
        <v>167.51</v>
      </c>
      <c r="E18" s="41">
        <v>178.8</v>
      </c>
      <c r="F18" s="38">
        <v>131.51</v>
      </c>
      <c r="G18" s="41">
        <v>132.3</v>
      </c>
      <c r="H18" s="114">
        <v>133.82</v>
      </c>
      <c r="I18" s="43">
        <v>128.8</v>
      </c>
      <c r="J18" s="114">
        <v>108.08</v>
      </c>
      <c r="K18" s="43">
        <v>115.1</v>
      </c>
      <c r="L18" s="38">
        <v>180.9</v>
      </c>
      <c r="M18" s="43">
        <v>164.6</v>
      </c>
      <c r="N18" s="38">
        <v>178.52</v>
      </c>
      <c r="O18" s="43">
        <v>110.4</v>
      </c>
      <c r="P18" s="38">
        <v>299.45</v>
      </c>
      <c r="Q18" s="43">
        <v>142.8</v>
      </c>
      <c r="R18" s="38">
        <v>369.98</v>
      </c>
      <c r="S18" s="43">
        <v>150.4</v>
      </c>
      <c r="T18" s="38"/>
      <c r="U18" s="43"/>
    </row>
    <row r="19" spans="1:21" s="1" customFormat="1" ht="15.75" thickBot="1">
      <c r="A19" s="2" t="s">
        <v>21</v>
      </c>
      <c r="B19" s="37">
        <f aca="true" t="shared" si="0" ref="B19:G19">SUM(B7:B18)</f>
        <v>207.43</v>
      </c>
      <c r="C19" s="52">
        <f t="shared" si="0"/>
        <v>415</v>
      </c>
      <c r="D19" s="93">
        <f t="shared" si="0"/>
        <v>944.86</v>
      </c>
      <c r="E19" s="94">
        <f t="shared" si="0"/>
        <v>1410.8999999999999</v>
      </c>
      <c r="F19" s="93">
        <f t="shared" si="0"/>
        <v>1400.4199999999998</v>
      </c>
      <c r="G19" s="103">
        <f t="shared" si="0"/>
        <v>1386.9</v>
      </c>
      <c r="H19" s="117">
        <f aca="true" t="shared" si="1" ref="H19:M19">SUM(H7:H18)</f>
        <v>1242.6999999999998</v>
      </c>
      <c r="I19" s="52">
        <f t="shared" si="1"/>
        <v>1218.8</v>
      </c>
      <c r="J19" s="117">
        <f t="shared" si="1"/>
        <v>1190.8600000000001</v>
      </c>
      <c r="K19" s="52">
        <f t="shared" si="1"/>
        <v>1177</v>
      </c>
      <c r="L19" s="133">
        <f t="shared" si="1"/>
        <v>1294.15</v>
      </c>
      <c r="M19" s="89">
        <f t="shared" si="1"/>
        <v>1272.8</v>
      </c>
      <c r="N19" s="133">
        <f aca="true" t="shared" si="2" ref="N19:S19">SUM(N7:N18)</f>
        <v>1001.9799999999999</v>
      </c>
      <c r="O19" s="89">
        <f t="shared" si="2"/>
        <v>824</v>
      </c>
      <c r="P19" s="133">
        <f t="shared" si="2"/>
        <v>1306.01</v>
      </c>
      <c r="Q19" s="89">
        <f t="shared" si="2"/>
        <v>697.9000000000001</v>
      </c>
      <c r="R19" s="133">
        <f t="shared" si="2"/>
        <v>1504.54</v>
      </c>
      <c r="S19" s="89">
        <f t="shared" si="2"/>
        <v>685.5</v>
      </c>
      <c r="T19" s="133">
        <f>SUM(T7:T18)</f>
        <v>919.8</v>
      </c>
      <c r="U19" s="89">
        <f>SUM(U7:U18)</f>
        <v>373.9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U19"/>
  <sheetViews>
    <sheetView zoomScale="75" zoomScaleNormal="75" workbookViewId="0" topLeftCell="A1">
      <pane xSplit="1" topLeftCell="E1" activePane="topRight" state="frozen"/>
      <selection pane="topLeft" activeCell="A1" sqref="A1"/>
      <selection pane="topRight" activeCell="U9" sqref="U9"/>
    </sheetView>
  </sheetViews>
  <sheetFormatPr defaultColWidth="11.5546875" defaultRowHeight="15"/>
  <cols>
    <col min="1" max="1" width="14.3359375" style="3" bestFit="1" customWidth="1"/>
    <col min="2" max="2" width="8.88671875" style="8" customWidth="1"/>
    <col min="3" max="3" width="8.6640625" style="0" customWidth="1"/>
    <col min="4" max="4" width="8.88671875" style="8" customWidth="1"/>
    <col min="5" max="7" width="8.6640625" style="0" customWidth="1"/>
    <col min="8" max="8" width="10.3359375" style="111" bestFit="1" customWidth="1"/>
    <col min="9" max="13" width="8.6640625" style="0" customWidth="1"/>
    <col min="14" max="14" width="9.6640625" style="0" bestFit="1" customWidth="1"/>
    <col min="15" max="15" width="8.6640625" style="0" customWidth="1"/>
    <col min="16" max="16" width="9.6640625" style="0" customWidth="1"/>
    <col min="17" max="17" width="8.6640625" style="0" customWidth="1"/>
    <col min="18" max="18" width="9.6640625" style="0" customWidth="1"/>
    <col min="19" max="19" width="8.6640625" style="0" customWidth="1"/>
    <col min="21" max="16384" width="8.6640625" style="0" customWidth="1"/>
  </cols>
  <sheetData>
    <row r="2" ht="15.75" thickBot="1">
      <c r="A2" s="153" t="s">
        <v>32</v>
      </c>
    </row>
    <row r="3" spans="1:21" s="5" customFormat="1" ht="16.5">
      <c r="A3" s="155"/>
      <c r="B3" s="45">
        <v>1998</v>
      </c>
      <c r="C3" s="46"/>
      <c r="D3" s="26">
        <v>1999</v>
      </c>
      <c r="E3" s="28"/>
      <c r="F3" s="26">
        <v>2000</v>
      </c>
      <c r="G3" s="28"/>
      <c r="H3" s="118">
        <v>2001</v>
      </c>
      <c r="I3" s="46"/>
      <c r="J3" s="118" t="s">
        <v>33</v>
      </c>
      <c r="K3" s="46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5" customFormat="1" ht="15">
      <c r="A4" s="4"/>
      <c r="B4" s="32" t="s">
        <v>5</v>
      </c>
      <c r="C4" s="34"/>
      <c r="D4" s="29" t="s">
        <v>5</v>
      </c>
      <c r="E4" s="31"/>
      <c r="F4" s="29" t="s">
        <v>5</v>
      </c>
      <c r="G4" s="31"/>
      <c r="H4" s="112" t="s">
        <v>5</v>
      </c>
      <c r="I4" s="34"/>
      <c r="J4" s="112" t="s">
        <v>5</v>
      </c>
      <c r="K4" s="34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5" customFormat="1" ht="15">
      <c r="A5" s="4" t="s">
        <v>22</v>
      </c>
      <c r="B5" s="32" t="s">
        <v>8</v>
      </c>
      <c r="C5" s="34" t="s">
        <v>24</v>
      </c>
      <c r="D5" s="29" t="s">
        <v>8</v>
      </c>
      <c r="E5" s="31" t="s">
        <v>7</v>
      </c>
      <c r="F5" s="29" t="s">
        <v>8</v>
      </c>
      <c r="G5" s="31" t="s">
        <v>7</v>
      </c>
      <c r="H5" s="112" t="s">
        <v>8</v>
      </c>
      <c r="I5" s="34" t="s">
        <v>7</v>
      </c>
      <c r="J5" s="112" t="s">
        <v>8</v>
      </c>
      <c r="K5" s="34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32"/>
      <c r="C6" s="34"/>
      <c r="D6" s="32"/>
      <c r="E6" s="34"/>
      <c r="F6" s="32"/>
      <c r="G6" s="34"/>
      <c r="H6" s="112"/>
      <c r="I6" s="34"/>
      <c r="J6" s="112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/>
      <c r="C7" s="43">
        <v>0</v>
      </c>
      <c r="D7" s="38">
        <v>56.7</v>
      </c>
      <c r="E7" s="41">
        <v>106.1</v>
      </c>
      <c r="F7" s="38">
        <v>153.76</v>
      </c>
      <c r="G7" s="41">
        <v>152.1</v>
      </c>
      <c r="H7" s="113">
        <v>248.11</v>
      </c>
      <c r="I7" s="43">
        <v>151.6</v>
      </c>
      <c r="J7" s="113">
        <v>234.71</v>
      </c>
      <c r="K7" s="43">
        <v>225.9</v>
      </c>
      <c r="L7" s="38">
        <v>202.17</v>
      </c>
      <c r="M7" s="43">
        <v>111.35</v>
      </c>
      <c r="N7" s="38">
        <v>142.21</v>
      </c>
      <c r="O7" s="43">
        <v>129.4</v>
      </c>
      <c r="P7" s="38"/>
      <c r="Q7" s="43"/>
      <c r="R7" s="38">
        <v>399.48</v>
      </c>
      <c r="S7" s="43">
        <v>190.5</v>
      </c>
      <c r="T7" s="38">
        <v>291.51</v>
      </c>
      <c r="U7" s="43">
        <v>118.5</v>
      </c>
    </row>
    <row r="8" spans="1:21" ht="15">
      <c r="A8" s="2" t="s">
        <v>10</v>
      </c>
      <c r="B8" s="35"/>
      <c r="C8" s="43"/>
      <c r="D8" s="38">
        <v>84.86</v>
      </c>
      <c r="E8" s="41">
        <v>178.8</v>
      </c>
      <c r="F8" s="38">
        <v>165.41</v>
      </c>
      <c r="G8" s="41">
        <v>159.6</v>
      </c>
      <c r="H8" s="113">
        <v>136.97</v>
      </c>
      <c r="I8" s="83">
        <v>137.8</v>
      </c>
      <c r="J8" s="113">
        <v>114.08</v>
      </c>
      <c r="K8" s="83">
        <v>109.8</v>
      </c>
      <c r="L8" s="38">
        <v>109.39</v>
      </c>
      <c r="M8" s="43">
        <v>116.5</v>
      </c>
      <c r="N8" s="38">
        <v>151.99</v>
      </c>
      <c r="O8" s="43">
        <v>138.3</v>
      </c>
      <c r="P8" s="38"/>
      <c r="Q8" s="43"/>
      <c r="R8" s="38"/>
      <c r="S8" s="43"/>
      <c r="T8" s="38">
        <v>338.5</v>
      </c>
      <c r="U8" s="43">
        <v>137.6</v>
      </c>
    </row>
    <row r="9" spans="1:21" ht="15">
      <c r="A9" s="2" t="s">
        <v>11</v>
      </c>
      <c r="B9" s="35"/>
      <c r="C9" s="43"/>
      <c r="D9" s="38"/>
      <c r="E9" s="41"/>
      <c r="F9" s="38">
        <v>0</v>
      </c>
      <c r="G9" s="41">
        <v>0</v>
      </c>
      <c r="H9" s="114">
        <v>131.01</v>
      </c>
      <c r="I9" s="43">
        <v>131.8</v>
      </c>
      <c r="J9" s="114">
        <v>0</v>
      </c>
      <c r="K9" s="43">
        <v>0</v>
      </c>
      <c r="L9" s="38"/>
      <c r="M9" s="43"/>
      <c r="N9" s="38">
        <v>245.08</v>
      </c>
      <c r="O9" s="43">
        <v>223</v>
      </c>
      <c r="P9" s="38">
        <v>265.51</v>
      </c>
      <c r="Q9" s="43">
        <v>164.2</v>
      </c>
      <c r="R9" s="38">
        <v>431.77</v>
      </c>
      <c r="S9" s="43">
        <v>205.9</v>
      </c>
      <c r="T9" s="38">
        <v>290.03</v>
      </c>
      <c r="U9" s="43">
        <v>117.9</v>
      </c>
    </row>
    <row r="10" spans="1:21" ht="15">
      <c r="A10" s="2" t="s">
        <v>23</v>
      </c>
      <c r="B10" s="35"/>
      <c r="C10" s="43"/>
      <c r="D10" s="38">
        <v>142.8</v>
      </c>
      <c r="E10" s="41">
        <v>84.49</v>
      </c>
      <c r="F10" s="38">
        <v>199.32</v>
      </c>
      <c r="G10" s="41">
        <v>220.8</v>
      </c>
      <c r="H10" s="114">
        <v>156.37</v>
      </c>
      <c r="I10" s="43">
        <v>150.5</v>
      </c>
      <c r="J10" s="114">
        <v>147.43</v>
      </c>
      <c r="K10" s="43">
        <v>141.9</v>
      </c>
      <c r="L10" s="38">
        <v>150.43</v>
      </c>
      <c r="M10" s="43">
        <v>160.2</v>
      </c>
      <c r="N10" s="38">
        <v>34.51</v>
      </c>
      <c r="O10" s="43">
        <v>31.4</v>
      </c>
      <c r="P10" s="38">
        <v>264.87</v>
      </c>
      <c r="Q10" s="43">
        <v>163.8</v>
      </c>
      <c r="R10" s="38"/>
      <c r="S10" s="43"/>
      <c r="T10" s="38"/>
      <c r="U10" s="43"/>
    </row>
    <row r="11" spans="1:21" ht="15">
      <c r="A11" s="2" t="s">
        <v>13</v>
      </c>
      <c r="B11" s="35"/>
      <c r="C11" s="43"/>
      <c r="D11" s="38"/>
      <c r="E11" s="41"/>
      <c r="F11" s="38">
        <v>0</v>
      </c>
      <c r="G11" s="41">
        <v>0</v>
      </c>
      <c r="H11" s="114"/>
      <c r="I11" s="43"/>
      <c r="J11" s="114">
        <v>120</v>
      </c>
      <c r="K11" s="43">
        <v>115.5</v>
      </c>
      <c r="L11" s="38"/>
      <c r="M11" s="43"/>
      <c r="N11" s="38"/>
      <c r="O11" s="43"/>
      <c r="P11" s="38"/>
      <c r="Q11" s="43"/>
      <c r="R11" s="38">
        <v>412.9</v>
      </c>
      <c r="S11" s="43">
        <v>196.9</v>
      </c>
      <c r="T11" s="38"/>
      <c r="U11" s="43"/>
    </row>
    <row r="12" spans="1:21" ht="15">
      <c r="A12" s="2" t="s">
        <v>14</v>
      </c>
      <c r="B12" s="35"/>
      <c r="C12" s="43"/>
      <c r="D12" s="38">
        <v>115.92</v>
      </c>
      <c r="E12" s="41">
        <v>196.6</v>
      </c>
      <c r="F12" s="38">
        <v>105.66</v>
      </c>
      <c r="G12" s="41">
        <v>110.1</v>
      </c>
      <c r="H12" s="114">
        <v>26.91</v>
      </c>
      <c r="I12" s="43">
        <v>25.9</v>
      </c>
      <c r="J12" s="114">
        <v>0</v>
      </c>
      <c r="K12" s="43">
        <v>0</v>
      </c>
      <c r="L12" s="38">
        <v>133.97</v>
      </c>
      <c r="M12" s="43">
        <v>121.9</v>
      </c>
      <c r="N12" s="38">
        <v>132.76</v>
      </c>
      <c r="O12" s="43">
        <v>120.8</v>
      </c>
      <c r="P12" s="38">
        <v>111.25</v>
      </c>
      <c r="Q12" s="43">
        <v>68.8</v>
      </c>
      <c r="R12" s="38">
        <v>108.62</v>
      </c>
      <c r="S12" s="43">
        <v>51.8</v>
      </c>
      <c r="T12" s="38"/>
      <c r="U12" s="43"/>
    </row>
    <row r="13" spans="1:21" ht="15">
      <c r="A13" s="2" t="s">
        <v>15</v>
      </c>
      <c r="B13" s="35"/>
      <c r="C13" s="43"/>
      <c r="D13" s="38"/>
      <c r="E13" s="41"/>
      <c r="F13" s="38">
        <v>0</v>
      </c>
      <c r="G13" s="41">
        <v>0</v>
      </c>
      <c r="H13" s="114"/>
      <c r="I13" s="43"/>
      <c r="J13" s="114">
        <v>0</v>
      </c>
      <c r="K13" s="43">
        <v>0</v>
      </c>
      <c r="L13" s="38"/>
      <c r="M13" s="43"/>
      <c r="N13" s="38"/>
      <c r="O13" s="43"/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/>
      <c r="C14" s="43"/>
      <c r="D14" s="38">
        <v>37.42</v>
      </c>
      <c r="E14" s="41">
        <v>51</v>
      </c>
      <c r="F14" s="38">
        <v>36.88</v>
      </c>
      <c r="G14" s="41">
        <v>37.1</v>
      </c>
      <c r="H14" s="114">
        <v>50.91</v>
      </c>
      <c r="I14" s="43">
        <v>49</v>
      </c>
      <c r="J14" s="114">
        <v>49.86</v>
      </c>
      <c r="K14" s="43">
        <v>53.1</v>
      </c>
      <c r="L14" s="38"/>
      <c r="M14" s="43"/>
      <c r="N14" s="38">
        <v>50.44</v>
      </c>
      <c r="O14" s="43">
        <v>45.9</v>
      </c>
      <c r="P14" s="38">
        <v>75.7</v>
      </c>
      <c r="Q14" s="43">
        <v>36.1</v>
      </c>
      <c r="R14" s="38">
        <v>115.37</v>
      </c>
      <c r="S14" s="43">
        <v>46.9</v>
      </c>
      <c r="T14" s="38"/>
      <c r="U14" s="43"/>
    </row>
    <row r="15" spans="1:21" ht="15">
      <c r="A15" s="2" t="s">
        <v>17</v>
      </c>
      <c r="B15" s="35"/>
      <c r="C15" s="43"/>
      <c r="D15" s="38"/>
      <c r="E15" s="41"/>
      <c r="F15" s="38">
        <v>0</v>
      </c>
      <c r="G15" s="41">
        <v>0</v>
      </c>
      <c r="H15" s="114"/>
      <c r="I15" s="43"/>
      <c r="J15" s="114">
        <v>0</v>
      </c>
      <c r="K15" s="43">
        <v>0</v>
      </c>
      <c r="L15" s="38">
        <v>58.36</v>
      </c>
      <c r="M15" s="43">
        <v>53.1</v>
      </c>
      <c r="N15" s="38"/>
      <c r="O15" s="43"/>
      <c r="P15" s="38"/>
      <c r="Q15" s="43"/>
      <c r="R15" s="38"/>
      <c r="S15" s="43"/>
      <c r="T15" s="38"/>
      <c r="U15" s="43"/>
    </row>
    <row r="16" spans="1:21" ht="15">
      <c r="A16" s="2" t="s">
        <v>18</v>
      </c>
      <c r="B16" s="35">
        <v>42.33</v>
      </c>
      <c r="C16" s="43">
        <v>87.4</v>
      </c>
      <c r="D16" s="38">
        <v>84.37</v>
      </c>
      <c r="E16" s="41">
        <v>110.4</v>
      </c>
      <c r="F16" s="38">
        <v>95.82</v>
      </c>
      <c r="G16" s="41">
        <v>96.4</v>
      </c>
      <c r="H16" s="114"/>
      <c r="I16" s="43"/>
      <c r="J16" s="114">
        <v>0</v>
      </c>
      <c r="K16" s="43">
        <v>0</v>
      </c>
      <c r="L16" s="38"/>
      <c r="M16" s="43"/>
      <c r="N16" s="38"/>
      <c r="O16" s="43"/>
      <c r="P16" s="38"/>
      <c r="Q16" s="43"/>
      <c r="R16" s="38">
        <v>191.14</v>
      </c>
      <c r="S16" s="43">
        <v>77.7</v>
      </c>
      <c r="T16" s="38"/>
      <c r="U16" s="43"/>
    </row>
    <row r="17" spans="1:21" ht="15">
      <c r="A17" s="2" t="s">
        <v>19</v>
      </c>
      <c r="B17" s="35">
        <v>15.39</v>
      </c>
      <c r="C17" s="43">
        <v>27.6</v>
      </c>
      <c r="D17" s="38"/>
      <c r="E17" s="41"/>
      <c r="F17" s="38">
        <v>0</v>
      </c>
      <c r="G17" s="41">
        <v>0</v>
      </c>
      <c r="H17" s="114">
        <v>171.02</v>
      </c>
      <c r="I17" s="43">
        <v>164.6</v>
      </c>
      <c r="J17" s="114">
        <v>109.68</v>
      </c>
      <c r="K17" s="43">
        <v>116.8</v>
      </c>
      <c r="L17" s="38">
        <v>132.54</v>
      </c>
      <c r="M17" s="43">
        <v>120.6</v>
      </c>
      <c r="N17" s="38">
        <v>192.1</v>
      </c>
      <c r="O17" s="43">
        <v>118.8</v>
      </c>
      <c r="P17" s="38">
        <v>331.33</v>
      </c>
      <c r="Q17" s="43">
        <v>158</v>
      </c>
      <c r="R17" s="38"/>
      <c r="S17" s="43"/>
      <c r="T17" s="38"/>
      <c r="U17" s="43"/>
    </row>
    <row r="18" spans="1:21" ht="15.75" thickBot="1">
      <c r="A18" s="2" t="s">
        <v>20</v>
      </c>
      <c r="B18" s="99">
        <v>94.32</v>
      </c>
      <c r="C18" s="86">
        <v>188.2</v>
      </c>
      <c r="D18" s="38">
        <v>156.63</v>
      </c>
      <c r="E18" s="41">
        <v>186.6</v>
      </c>
      <c r="F18" s="38">
        <v>138.07</v>
      </c>
      <c r="G18" s="41">
        <v>138.9</v>
      </c>
      <c r="H18" s="116">
        <v>97.98</v>
      </c>
      <c r="I18" s="86">
        <v>94.3</v>
      </c>
      <c r="J18" s="116">
        <v>109.02</v>
      </c>
      <c r="K18" s="86">
        <v>116.1</v>
      </c>
      <c r="L18" s="38">
        <v>141.33</v>
      </c>
      <c r="M18" s="43">
        <v>128.6</v>
      </c>
      <c r="N18" s="38">
        <v>235.76</v>
      </c>
      <c r="O18" s="43">
        <v>145.8</v>
      </c>
      <c r="P18" s="38">
        <v>292.32</v>
      </c>
      <c r="Q18" s="43">
        <v>139.4</v>
      </c>
      <c r="R18" s="38">
        <v>311.68</v>
      </c>
      <c r="S18" s="43">
        <v>126.7</v>
      </c>
      <c r="T18" s="38"/>
      <c r="U18" s="43"/>
    </row>
    <row r="19" spans="1:21" s="1" customFormat="1" ht="15.75" thickBot="1">
      <c r="A19" s="2" t="s">
        <v>21</v>
      </c>
      <c r="B19" s="37">
        <f aca="true" t="shared" si="0" ref="B19:I19">SUM(B7:B18)</f>
        <v>152.04</v>
      </c>
      <c r="C19" s="52">
        <f t="shared" si="0"/>
        <v>303.2</v>
      </c>
      <c r="D19" s="93">
        <f t="shared" si="0"/>
        <v>678.7</v>
      </c>
      <c r="E19" s="94">
        <f t="shared" si="0"/>
        <v>913.99</v>
      </c>
      <c r="F19" s="93">
        <f t="shared" si="0"/>
        <v>894.9199999999998</v>
      </c>
      <c r="G19" s="94">
        <f t="shared" si="0"/>
        <v>915</v>
      </c>
      <c r="H19" s="117">
        <f t="shared" si="0"/>
        <v>1019.28</v>
      </c>
      <c r="I19" s="52">
        <f t="shared" si="0"/>
        <v>905.5</v>
      </c>
      <c r="J19" s="117">
        <f aca="true" t="shared" si="1" ref="J19:O19">SUM(J7:J18)</f>
        <v>884.78</v>
      </c>
      <c r="K19" s="52">
        <f t="shared" si="1"/>
        <v>879.1</v>
      </c>
      <c r="L19" s="133">
        <f t="shared" si="1"/>
        <v>928.19</v>
      </c>
      <c r="M19" s="89">
        <f t="shared" si="1"/>
        <v>812.25</v>
      </c>
      <c r="N19" s="133">
        <f t="shared" si="1"/>
        <v>1184.85</v>
      </c>
      <c r="O19" s="89">
        <f t="shared" si="1"/>
        <v>953.3999999999999</v>
      </c>
      <c r="P19" s="133">
        <f aca="true" t="shared" si="2" ref="P19:U19">SUM(P7:P18)</f>
        <v>1340.98</v>
      </c>
      <c r="Q19" s="89">
        <f t="shared" si="2"/>
        <v>730.3000000000001</v>
      </c>
      <c r="R19" s="133">
        <f t="shared" si="2"/>
        <v>1970.9599999999998</v>
      </c>
      <c r="S19" s="89">
        <f t="shared" si="2"/>
        <v>896.4</v>
      </c>
      <c r="T19" s="133">
        <f t="shared" si="2"/>
        <v>920.04</v>
      </c>
      <c r="U19" s="89">
        <f t="shared" si="2"/>
        <v>374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U20"/>
  <sheetViews>
    <sheetView zoomScale="75" zoomScaleNormal="75" workbookViewId="0" topLeftCell="A1">
      <pane xSplit="1" topLeftCell="E1" activePane="topRight" state="frozen"/>
      <selection pane="topLeft" activeCell="A1" sqref="A1"/>
      <selection pane="topRight" activeCell="U10" sqref="U10"/>
    </sheetView>
  </sheetViews>
  <sheetFormatPr defaultColWidth="11.5546875" defaultRowHeight="15"/>
  <cols>
    <col min="1" max="1" width="14.3359375" style="3" bestFit="1" customWidth="1"/>
    <col min="2" max="2" width="8.88671875" style="8" customWidth="1"/>
    <col min="3" max="3" width="8.6640625" style="0" customWidth="1"/>
    <col min="4" max="4" width="8.88671875" style="8" customWidth="1"/>
    <col min="5" max="5" width="8.6640625" style="0" customWidth="1"/>
    <col min="6" max="6" width="9.6640625" style="0" bestFit="1" customWidth="1"/>
    <col min="7" max="7" width="8.6640625" style="0" customWidth="1"/>
    <col min="8" max="8" width="10.3359375" style="111" bestFit="1" customWidth="1"/>
    <col min="9" max="9" width="8.99609375" style="0" customWidth="1"/>
    <col min="10" max="10" width="10.10546875" style="0" customWidth="1"/>
    <col min="11" max="13" width="8.6640625" style="0" customWidth="1"/>
    <col min="14" max="14" width="9.6640625" style="0" bestFit="1" customWidth="1"/>
    <col min="15" max="15" width="8.6640625" style="0" customWidth="1"/>
    <col min="16" max="16" width="9.6640625" style="0" customWidth="1"/>
    <col min="17" max="17" width="8.6640625" style="0" customWidth="1"/>
    <col min="18" max="18" width="9.6640625" style="0" bestFit="1" customWidth="1"/>
    <col min="19" max="19" width="8.6640625" style="0" customWidth="1"/>
    <col min="20" max="20" width="9.6640625" style="0" bestFit="1" customWidth="1"/>
    <col min="21" max="16384" width="8.6640625" style="0" customWidth="1"/>
  </cols>
  <sheetData>
    <row r="2" ht="15.75" thickBot="1">
      <c r="A2" s="153" t="s">
        <v>32</v>
      </c>
    </row>
    <row r="3" spans="1:21" s="11" customFormat="1" ht="16.5">
      <c r="A3" s="156"/>
      <c r="B3" s="45">
        <v>1998</v>
      </c>
      <c r="C3" s="53"/>
      <c r="D3" s="26">
        <v>1999</v>
      </c>
      <c r="E3" s="28"/>
      <c r="F3" s="26">
        <v>2000</v>
      </c>
      <c r="G3" s="28"/>
      <c r="H3" s="118">
        <v>2001</v>
      </c>
      <c r="I3" s="53"/>
      <c r="J3" s="118" t="s">
        <v>33</v>
      </c>
      <c r="K3" s="53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5" customFormat="1" ht="15">
      <c r="A4" s="4"/>
      <c r="B4" s="32" t="s">
        <v>5</v>
      </c>
      <c r="C4" s="34"/>
      <c r="D4" s="29" t="s">
        <v>5</v>
      </c>
      <c r="E4" s="31"/>
      <c r="F4" s="29" t="s">
        <v>5</v>
      </c>
      <c r="G4" s="31"/>
      <c r="H4" s="112" t="s">
        <v>5</v>
      </c>
      <c r="I4" s="34"/>
      <c r="J4" s="112" t="s">
        <v>5</v>
      </c>
      <c r="K4" s="34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5" customFormat="1" ht="15">
      <c r="A5" s="4" t="s">
        <v>22</v>
      </c>
      <c r="B5" s="32" t="s">
        <v>8</v>
      </c>
      <c r="C5" s="34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112" t="s">
        <v>8</v>
      </c>
      <c r="I5" s="34" t="s">
        <v>7</v>
      </c>
      <c r="J5" s="112" t="s">
        <v>8</v>
      </c>
      <c r="K5" s="34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32"/>
      <c r="C6" s="34"/>
      <c r="D6" s="32"/>
      <c r="E6" s="34"/>
      <c r="F6" s="32"/>
      <c r="G6" s="34"/>
      <c r="H6" s="112"/>
      <c r="I6" s="34"/>
      <c r="J6" s="112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/>
      <c r="C7" s="43">
        <v>0</v>
      </c>
      <c r="D7" s="38">
        <v>45.21</v>
      </c>
      <c r="E7" s="41">
        <v>84.6</v>
      </c>
      <c r="F7" s="38">
        <v>101.98</v>
      </c>
      <c r="G7" s="41">
        <v>116.8</v>
      </c>
      <c r="H7" s="113">
        <v>126.74</v>
      </c>
      <c r="I7" s="83">
        <v>127.5</v>
      </c>
      <c r="J7" s="113">
        <v>228.68</v>
      </c>
      <c r="K7" s="83">
        <v>220.1</v>
      </c>
      <c r="L7" s="38">
        <v>191.55</v>
      </c>
      <c r="M7" s="43">
        <v>204</v>
      </c>
      <c r="N7" s="38">
        <v>144.08</v>
      </c>
      <c r="O7" s="43">
        <v>131.1</v>
      </c>
      <c r="P7" s="38"/>
      <c r="Q7" s="43"/>
      <c r="R7" s="38">
        <v>352.93</v>
      </c>
      <c r="S7" s="43">
        <v>168.3</v>
      </c>
      <c r="T7" s="38">
        <v>306.27</v>
      </c>
      <c r="U7" s="43">
        <v>124.5</v>
      </c>
    </row>
    <row r="8" spans="1:21" ht="15">
      <c r="A8" s="2" t="s">
        <v>10</v>
      </c>
      <c r="B8" s="35"/>
      <c r="C8" s="43"/>
      <c r="D8" s="38">
        <v>110.44</v>
      </c>
      <c r="E8" s="41">
        <v>232.7</v>
      </c>
      <c r="F8" s="38">
        <v>280.52</v>
      </c>
      <c r="G8" s="41">
        <v>202.7</v>
      </c>
      <c r="H8" s="113">
        <v>103.57</v>
      </c>
      <c r="I8" s="83">
        <v>104.2</v>
      </c>
      <c r="J8" s="113">
        <v>138.6</v>
      </c>
      <c r="K8" s="83">
        <v>133.4</v>
      </c>
      <c r="L8" s="38">
        <v>110.99</v>
      </c>
      <c r="M8" s="43">
        <v>118.2</v>
      </c>
      <c r="N8" s="38">
        <v>131.33</v>
      </c>
      <c r="O8" s="43">
        <v>119.5</v>
      </c>
      <c r="P8" s="38"/>
      <c r="Q8" s="43"/>
      <c r="R8" s="38"/>
      <c r="S8" s="43"/>
      <c r="T8" s="38">
        <v>514.88</v>
      </c>
      <c r="U8" s="43">
        <v>209.3</v>
      </c>
    </row>
    <row r="9" spans="1:21" ht="15">
      <c r="A9" s="2" t="s">
        <v>11</v>
      </c>
      <c r="B9" s="35"/>
      <c r="C9" s="43"/>
      <c r="D9" s="38">
        <v>98.91</v>
      </c>
      <c r="E9" s="41">
        <v>173.8</v>
      </c>
      <c r="F9" s="38">
        <v>128.03</v>
      </c>
      <c r="G9" s="41">
        <v>127.6</v>
      </c>
      <c r="H9" s="114">
        <v>133.69</v>
      </c>
      <c r="I9" s="43">
        <v>134.5</v>
      </c>
      <c r="J9" s="114">
        <v>0</v>
      </c>
      <c r="K9" s="43">
        <v>0</v>
      </c>
      <c r="L9" s="38"/>
      <c r="M9" s="43"/>
      <c r="N9" s="38"/>
      <c r="O9" s="43"/>
      <c r="P9" s="38">
        <v>258.88</v>
      </c>
      <c r="Q9" s="43">
        <v>160.1</v>
      </c>
      <c r="R9" s="38">
        <v>351.25</v>
      </c>
      <c r="S9" s="43">
        <v>167.5</v>
      </c>
      <c r="T9" s="38">
        <v>529.64</v>
      </c>
      <c r="U9" s="43">
        <v>215.3</v>
      </c>
    </row>
    <row r="10" spans="1:21" ht="15">
      <c r="A10" s="2" t="s">
        <v>23</v>
      </c>
      <c r="B10" s="35"/>
      <c r="C10" s="43"/>
      <c r="D10" s="38"/>
      <c r="E10" s="41"/>
      <c r="F10" s="38">
        <v>181.9</v>
      </c>
      <c r="G10" s="41">
        <v>184.57</v>
      </c>
      <c r="H10" s="114">
        <v>163.33</v>
      </c>
      <c r="I10" s="43">
        <v>157.2</v>
      </c>
      <c r="J10" s="114">
        <v>174.14</v>
      </c>
      <c r="K10" s="43">
        <v>167.6</v>
      </c>
      <c r="L10" s="38">
        <v>7.51</v>
      </c>
      <c r="M10" s="43">
        <v>8</v>
      </c>
      <c r="N10" s="38">
        <v>163.09</v>
      </c>
      <c r="O10" s="43">
        <v>148.4</v>
      </c>
      <c r="P10" s="38">
        <v>283.14</v>
      </c>
      <c r="Q10" s="43">
        <v>175.1</v>
      </c>
      <c r="R10" s="38"/>
      <c r="S10" s="43"/>
      <c r="T10" s="38"/>
      <c r="U10" s="43"/>
    </row>
    <row r="11" spans="1:21" ht="15">
      <c r="A11" s="2" t="s">
        <v>13</v>
      </c>
      <c r="B11" s="35"/>
      <c r="C11" s="43"/>
      <c r="D11" s="38">
        <v>152.19</v>
      </c>
      <c r="E11" s="41">
        <v>246.7</v>
      </c>
      <c r="F11" s="38">
        <v>0</v>
      </c>
      <c r="G11" s="41">
        <v>0</v>
      </c>
      <c r="H11" s="114"/>
      <c r="I11" s="43"/>
      <c r="J11" s="114">
        <v>153.98</v>
      </c>
      <c r="K11" s="43">
        <v>148.2</v>
      </c>
      <c r="L11" s="38"/>
      <c r="M11" s="43"/>
      <c r="N11" s="38"/>
      <c r="O11" s="43"/>
      <c r="R11" s="38">
        <v>371.38</v>
      </c>
      <c r="S11" s="43">
        <v>177.1</v>
      </c>
      <c r="T11" s="38"/>
      <c r="U11" s="43"/>
    </row>
    <row r="12" spans="1:21" ht="15">
      <c r="A12" s="2" t="s">
        <v>14</v>
      </c>
      <c r="B12" s="35"/>
      <c r="C12" s="43"/>
      <c r="D12" s="38">
        <v>51.35</v>
      </c>
      <c r="E12" s="41">
        <v>87.1</v>
      </c>
      <c r="F12" s="38">
        <v>75.24</v>
      </c>
      <c r="G12" s="41">
        <v>78.4</v>
      </c>
      <c r="H12" s="114">
        <v>16.31</v>
      </c>
      <c r="I12" s="43">
        <v>15.7</v>
      </c>
      <c r="J12" s="114">
        <v>0</v>
      </c>
      <c r="K12" s="43">
        <v>0</v>
      </c>
      <c r="L12" s="38">
        <v>130.45</v>
      </c>
      <c r="M12" s="43">
        <v>118.7</v>
      </c>
      <c r="N12" s="38">
        <v>182.54</v>
      </c>
      <c r="O12" s="43">
        <v>166.1</v>
      </c>
      <c r="P12" s="38">
        <v>140.84</v>
      </c>
      <c r="Q12" s="43">
        <v>87.1</v>
      </c>
      <c r="R12" s="38">
        <v>102.75</v>
      </c>
      <c r="S12" s="43">
        <v>49</v>
      </c>
      <c r="T12" s="38"/>
      <c r="U12" s="43"/>
    </row>
    <row r="13" spans="1:21" ht="15">
      <c r="A13" s="2" t="s">
        <v>15</v>
      </c>
      <c r="B13" s="35"/>
      <c r="C13" s="43"/>
      <c r="D13" s="38"/>
      <c r="E13" s="41"/>
      <c r="F13" s="38">
        <v>0</v>
      </c>
      <c r="G13" s="41">
        <v>0</v>
      </c>
      <c r="H13" s="114"/>
      <c r="I13" s="43"/>
      <c r="J13" s="114">
        <v>0</v>
      </c>
      <c r="K13" s="43">
        <v>0</v>
      </c>
      <c r="L13" s="38"/>
      <c r="M13" s="43"/>
      <c r="N13" s="38"/>
      <c r="O13" s="43"/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/>
      <c r="C14" s="43"/>
      <c r="D14" s="38">
        <v>41.01</v>
      </c>
      <c r="E14" s="41">
        <v>55.9</v>
      </c>
      <c r="F14" s="38">
        <v>73.26</v>
      </c>
      <c r="G14" s="41">
        <v>73.7</v>
      </c>
      <c r="H14" s="114">
        <v>74.08</v>
      </c>
      <c r="I14" s="43">
        <v>71.3</v>
      </c>
      <c r="J14" s="114">
        <v>67.7</v>
      </c>
      <c r="K14" s="43">
        <v>72.1</v>
      </c>
      <c r="L14" s="38"/>
      <c r="M14" s="43"/>
      <c r="N14" s="38">
        <v>50.77</v>
      </c>
      <c r="O14" s="43">
        <v>46.2</v>
      </c>
      <c r="P14" s="38">
        <v>145.53</v>
      </c>
      <c r="Q14" s="43">
        <v>69.4</v>
      </c>
      <c r="R14" s="38">
        <v>170.23</v>
      </c>
      <c r="S14" s="43">
        <v>69.2</v>
      </c>
      <c r="T14" s="38"/>
      <c r="U14" s="43"/>
    </row>
    <row r="15" spans="1:21" ht="15">
      <c r="A15" s="2" t="s">
        <v>17</v>
      </c>
      <c r="B15" s="35"/>
      <c r="C15" s="43"/>
      <c r="D15" s="38"/>
      <c r="E15" s="41"/>
      <c r="F15" s="38">
        <v>0</v>
      </c>
      <c r="G15" s="41">
        <v>0</v>
      </c>
      <c r="H15" s="114"/>
      <c r="I15" s="43"/>
      <c r="J15" s="114">
        <v>0</v>
      </c>
      <c r="K15" s="43">
        <v>0</v>
      </c>
      <c r="L15" s="38">
        <v>72.31</v>
      </c>
      <c r="M15" s="43">
        <v>65.8</v>
      </c>
      <c r="N15" s="38"/>
      <c r="O15" s="43"/>
      <c r="P15" s="38"/>
      <c r="Q15" s="43"/>
      <c r="R15" s="38"/>
      <c r="S15" s="43"/>
      <c r="T15" s="38"/>
      <c r="U15" s="43"/>
    </row>
    <row r="16" spans="1:21" ht="15">
      <c r="A16" s="2" t="s">
        <v>18</v>
      </c>
      <c r="B16" s="35">
        <v>78.17</v>
      </c>
      <c r="C16" s="43">
        <v>161.4</v>
      </c>
      <c r="D16" s="38">
        <v>99.89</v>
      </c>
      <c r="E16" s="41">
        <v>130</v>
      </c>
      <c r="F16" s="38">
        <v>115.4</v>
      </c>
      <c r="G16" s="41">
        <v>116.1</v>
      </c>
      <c r="H16" s="114"/>
      <c r="I16" s="43"/>
      <c r="J16" s="114">
        <v>0</v>
      </c>
      <c r="K16" s="43">
        <v>0</v>
      </c>
      <c r="L16" s="38"/>
      <c r="M16" s="43"/>
      <c r="N16" s="38"/>
      <c r="O16" s="43"/>
      <c r="P16" s="38"/>
      <c r="Q16" s="43"/>
      <c r="R16" s="38">
        <v>239.36</v>
      </c>
      <c r="S16" s="43">
        <v>97.3</v>
      </c>
      <c r="T16" s="38"/>
      <c r="U16" s="43"/>
    </row>
    <row r="17" spans="1:21" ht="15">
      <c r="A17" s="2" t="s">
        <v>19</v>
      </c>
      <c r="B17" s="35">
        <v>21.63</v>
      </c>
      <c r="C17" s="43">
        <v>38.8</v>
      </c>
      <c r="D17" s="38">
        <v>79.25</v>
      </c>
      <c r="E17" s="41">
        <v>101.3</v>
      </c>
      <c r="F17" s="38">
        <v>0</v>
      </c>
      <c r="G17" s="41">
        <v>0</v>
      </c>
      <c r="H17" s="114">
        <v>179.85</v>
      </c>
      <c r="I17" s="43">
        <v>173.1</v>
      </c>
      <c r="J17" s="114">
        <v>131.74</v>
      </c>
      <c r="K17" s="43">
        <v>140.3</v>
      </c>
      <c r="L17" s="38">
        <v>172.43</v>
      </c>
      <c r="M17" s="43">
        <v>156.9</v>
      </c>
      <c r="N17" s="38">
        <v>208.27</v>
      </c>
      <c r="O17" s="43">
        <v>128.8</v>
      </c>
      <c r="P17" s="38">
        <v>294</v>
      </c>
      <c r="Q17" s="43">
        <v>140.2</v>
      </c>
      <c r="R17" s="38"/>
      <c r="S17" s="43"/>
      <c r="T17" s="38"/>
      <c r="U17" s="43"/>
    </row>
    <row r="18" spans="1:21" ht="15" customHeight="1" thickBot="1">
      <c r="A18" s="2" t="s">
        <v>20</v>
      </c>
      <c r="B18" s="99">
        <v>133.51</v>
      </c>
      <c r="C18" s="86">
        <v>266.2</v>
      </c>
      <c r="D18" s="38">
        <v>207.46</v>
      </c>
      <c r="E18" s="41">
        <v>242.9</v>
      </c>
      <c r="F18" s="38">
        <v>241.84</v>
      </c>
      <c r="G18" s="41">
        <v>243.3</v>
      </c>
      <c r="H18" s="114">
        <v>104.94</v>
      </c>
      <c r="I18" s="43">
        <v>101</v>
      </c>
      <c r="J18" s="114">
        <v>112.02</v>
      </c>
      <c r="K18" s="43">
        <v>119.3</v>
      </c>
      <c r="L18" s="38">
        <v>139.35</v>
      </c>
      <c r="M18" s="43">
        <v>126.8</v>
      </c>
      <c r="N18" s="38">
        <v>226.54</v>
      </c>
      <c r="O18" s="43">
        <v>140.1</v>
      </c>
      <c r="P18" s="38">
        <v>268.84</v>
      </c>
      <c r="Q18" s="43">
        <v>128.2</v>
      </c>
      <c r="R18" s="38">
        <v>386.96</v>
      </c>
      <c r="S18" s="43">
        <v>157.3</v>
      </c>
      <c r="T18" s="38"/>
      <c r="U18" s="43"/>
    </row>
    <row r="19" spans="1:21" s="1" customFormat="1" ht="15.75" thickBot="1">
      <c r="A19" s="2" t="s">
        <v>21</v>
      </c>
      <c r="B19" s="67">
        <f>SUM(B7:B18)</f>
        <v>233.31</v>
      </c>
      <c r="C19" s="96">
        <f>SUM(C16:C18)</f>
        <v>466.4</v>
      </c>
      <c r="D19" s="93">
        <f aca="true" t="shared" si="0" ref="D19:I19">SUM(D7:D18)</f>
        <v>885.71</v>
      </c>
      <c r="E19" s="94">
        <f t="shared" si="0"/>
        <v>1355</v>
      </c>
      <c r="F19" s="93">
        <f t="shared" si="0"/>
        <v>1198.1699999999998</v>
      </c>
      <c r="G19" s="94">
        <f t="shared" si="0"/>
        <v>1143.17</v>
      </c>
      <c r="H19" s="115">
        <f t="shared" si="0"/>
        <v>902.51</v>
      </c>
      <c r="I19" s="96">
        <f t="shared" si="0"/>
        <v>884.5</v>
      </c>
      <c r="J19" s="115">
        <f aca="true" t="shared" si="1" ref="J19:O19">SUM(J7:J18)</f>
        <v>1006.86</v>
      </c>
      <c r="K19" s="96">
        <f t="shared" si="1"/>
        <v>1001</v>
      </c>
      <c r="L19" s="133">
        <f t="shared" si="1"/>
        <v>824.59</v>
      </c>
      <c r="M19" s="89">
        <f t="shared" si="1"/>
        <v>798.3999999999999</v>
      </c>
      <c r="N19" s="133">
        <f t="shared" si="1"/>
        <v>1106.62</v>
      </c>
      <c r="O19" s="89">
        <f t="shared" si="1"/>
        <v>880.2000000000002</v>
      </c>
      <c r="P19" s="133">
        <f aca="true" t="shared" si="2" ref="P19:U19">SUM(P7:P18)</f>
        <v>1391.2299999999998</v>
      </c>
      <c r="Q19" s="89">
        <f t="shared" si="2"/>
        <v>760.0999999999999</v>
      </c>
      <c r="R19" s="133">
        <f t="shared" si="2"/>
        <v>1974.8600000000001</v>
      </c>
      <c r="S19" s="89">
        <f t="shared" si="2"/>
        <v>885.7</v>
      </c>
      <c r="T19" s="133">
        <f t="shared" si="2"/>
        <v>1350.79</v>
      </c>
      <c r="U19" s="89">
        <f t="shared" si="2"/>
        <v>549.1</v>
      </c>
    </row>
    <row r="20" spans="1:8" s="1" customFormat="1" ht="15">
      <c r="A20" s="2"/>
      <c r="B20" s="10"/>
      <c r="D20" s="10"/>
      <c r="H20" s="123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2:U19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U10" sqref="U10"/>
    </sheetView>
  </sheetViews>
  <sheetFormatPr defaultColWidth="11.5546875" defaultRowHeight="15"/>
  <cols>
    <col min="1" max="1" width="10.99609375" style="3" customWidth="1"/>
    <col min="2" max="2" width="8.88671875" style="8" customWidth="1"/>
    <col min="3" max="3" width="8.6640625" style="0" customWidth="1"/>
    <col min="4" max="4" width="8.88671875" style="8" customWidth="1"/>
    <col min="5" max="7" width="8.6640625" style="0" customWidth="1"/>
    <col min="8" max="8" width="10.3359375" style="111" bestFit="1" customWidth="1"/>
    <col min="9" max="13" width="8.6640625" style="0" customWidth="1"/>
    <col min="14" max="14" width="9.6640625" style="0" bestFit="1" customWidth="1"/>
    <col min="15" max="15" width="8.6640625" style="0" customWidth="1"/>
    <col min="16" max="16" width="10.3359375" style="0" customWidth="1"/>
    <col min="17" max="17" width="8.6640625" style="0" customWidth="1"/>
    <col min="18" max="18" width="9.6640625" style="0" bestFit="1" customWidth="1"/>
    <col min="19" max="19" width="8.6640625" style="0" customWidth="1"/>
    <col min="20" max="20" width="9.88671875" style="0" customWidth="1"/>
    <col min="21" max="16384" width="8.6640625" style="0" customWidth="1"/>
  </cols>
  <sheetData>
    <row r="2" ht="15.75" thickBot="1">
      <c r="A2" s="153" t="s">
        <v>35</v>
      </c>
    </row>
    <row r="3" spans="1:21" s="11" customFormat="1" ht="16.5">
      <c r="A3" s="156"/>
      <c r="B3" s="45">
        <v>1998</v>
      </c>
      <c r="C3" s="53"/>
      <c r="D3" s="26">
        <v>1999</v>
      </c>
      <c r="E3" s="28"/>
      <c r="F3" s="26">
        <v>2000</v>
      </c>
      <c r="G3" s="28"/>
      <c r="H3" s="118">
        <v>2001</v>
      </c>
      <c r="I3" s="53"/>
      <c r="J3" s="118" t="s">
        <v>33</v>
      </c>
      <c r="K3" s="53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5" customFormat="1" ht="15">
      <c r="A4" s="4"/>
      <c r="B4" s="32" t="s">
        <v>5</v>
      </c>
      <c r="C4" s="34"/>
      <c r="D4" s="29" t="s">
        <v>5</v>
      </c>
      <c r="E4" s="31"/>
      <c r="F4" s="29" t="s">
        <v>5</v>
      </c>
      <c r="G4" s="31"/>
      <c r="H4" s="112" t="s">
        <v>5</v>
      </c>
      <c r="I4" s="34"/>
      <c r="J4" s="112" t="s">
        <v>5</v>
      </c>
      <c r="K4" s="34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5" customFormat="1" ht="15">
      <c r="A5" s="4" t="s">
        <v>22</v>
      </c>
      <c r="B5" s="32" t="s">
        <v>8</v>
      </c>
      <c r="C5" s="34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112" t="s">
        <v>8</v>
      </c>
      <c r="I5" s="34" t="s">
        <v>7</v>
      </c>
      <c r="J5" s="112" t="s">
        <v>8</v>
      </c>
      <c r="K5" s="34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32"/>
      <c r="C6" s="34"/>
      <c r="D6" s="32"/>
      <c r="E6" s="34"/>
      <c r="F6" s="32"/>
      <c r="G6" s="34"/>
      <c r="H6" s="112"/>
      <c r="I6" s="34"/>
      <c r="J6" s="112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/>
      <c r="C7" s="43"/>
      <c r="D7" s="38">
        <v>38.38</v>
      </c>
      <c r="E7" s="41">
        <v>75.7</v>
      </c>
      <c r="F7" s="38">
        <v>108.19</v>
      </c>
      <c r="G7" s="41">
        <v>124.9</v>
      </c>
      <c r="H7" s="113">
        <v>225.04</v>
      </c>
      <c r="I7" s="83">
        <v>226.4</v>
      </c>
      <c r="J7" s="113">
        <v>81.77</v>
      </c>
      <c r="K7" s="83">
        <v>78.7</v>
      </c>
      <c r="L7" s="38">
        <v>214</v>
      </c>
      <c r="M7" s="43">
        <v>227.9</v>
      </c>
      <c r="N7" s="38">
        <v>234.09</v>
      </c>
      <c r="O7" s="43">
        <v>213</v>
      </c>
      <c r="P7" s="38"/>
      <c r="Q7" s="43"/>
      <c r="R7" s="38">
        <v>164.82</v>
      </c>
      <c r="S7" s="43">
        <v>78.6</v>
      </c>
      <c r="T7" s="38">
        <f>151.54+156.7</f>
        <v>308.24</v>
      </c>
      <c r="U7" s="43">
        <f>61.6+63.7</f>
        <v>125.30000000000001</v>
      </c>
    </row>
    <row r="8" spans="1:21" ht="15">
      <c r="A8" s="2" t="s">
        <v>10</v>
      </c>
      <c r="B8" s="35"/>
      <c r="C8" s="43"/>
      <c r="D8" s="38">
        <v>35.73</v>
      </c>
      <c r="E8" s="41">
        <v>70.5</v>
      </c>
      <c r="F8" s="38">
        <v>173.71</v>
      </c>
      <c r="G8" s="41">
        <v>112.8</v>
      </c>
      <c r="H8" s="114"/>
      <c r="I8" s="43"/>
      <c r="J8" s="114">
        <v>0</v>
      </c>
      <c r="K8" s="43">
        <v>0</v>
      </c>
      <c r="L8" s="38">
        <v>148.46</v>
      </c>
      <c r="M8" s="43">
        <v>158.1</v>
      </c>
      <c r="N8" s="38">
        <v>172.54</v>
      </c>
      <c r="O8" s="43">
        <v>157</v>
      </c>
      <c r="P8" s="38">
        <v>239.15</v>
      </c>
      <c r="Q8" s="43">
        <v>147.9</v>
      </c>
      <c r="R8" s="38">
        <v>220.81</v>
      </c>
      <c r="S8" s="43">
        <v>105.3</v>
      </c>
      <c r="T8" s="38">
        <v>414.76</v>
      </c>
      <c r="U8" s="43">
        <v>168.6</v>
      </c>
    </row>
    <row r="9" spans="1:21" ht="15">
      <c r="A9" s="2" t="s">
        <v>11</v>
      </c>
      <c r="B9" s="35"/>
      <c r="C9" s="43"/>
      <c r="D9" s="38">
        <v>87.41</v>
      </c>
      <c r="E9" s="41">
        <v>153.6</v>
      </c>
      <c r="F9" s="38">
        <v>153.36</v>
      </c>
      <c r="G9" s="41">
        <v>166.3</v>
      </c>
      <c r="H9" s="114">
        <v>223.25</v>
      </c>
      <c r="I9" s="43">
        <v>224.6</v>
      </c>
      <c r="J9" s="114">
        <v>121.98</v>
      </c>
      <c r="K9" s="43">
        <v>117.4</v>
      </c>
      <c r="L9" s="38">
        <v>99.06</v>
      </c>
      <c r="M9" s="43">
        <v>105.5</v>
      </c>
      <c r="N9" s="38">
        <v>72.09</v>
      </c>
      <c r="O9" s="43">
        <v>65.6</v>
      </c>
      <c r="P9" s="38">
        <f>206.81+114</f>
        <v>320.81</v>
      </c>
      <c r="Q9" s="43">
        <f>127.9+70.5</f>
        <v>198.4</v>
      </c>
      <c r="R9" s="38">
        <v>285.2</v>
      </c>
      <c r="S9" s="43">
        <v>136</v>
      </c>
      <c r="T9" s="38">
        <v>183.27</v>
      </c>
      <c r="U9" s="43">
        <v>74.5</v>
      </c>
    </row>
    <row r="10" spans="1:21" ht="15">
      <c r="A10" s="2" t="s">
        <v>23</v>
      </c>
      <c r="B10" s="35"/>
      <c r="C10" s="43"/>
      <c r="D10" s="38"/>
      <c r="E10" s="41"/>
      <c r="F10" s="38">
        <v>0</v>
      </c>
      <c r="G10" s="41">
        <v>0</v>
      </c>
      <c r="H10" s="114"/>
      <c r="I10" s="43"/>
      <c r="J10" s="114">
        <v>42.18</v>
      </c>
      <c r="K10" s="43">
        <v>40.6</v>
      </c>
      <c r="L10" s="38">
        <v>56.62</v>
      </c>
      <c r="M10" s="43">
        <v>60.3</v>
      </c>
      <c r="N10" s="38">
        <v>84.29</v>
      </c>
      <c r="O10" s="43">
        <v>76.7</v>
      </c>
      <c r="P10" s="38">
        <v>81.5</v>
      </c>
      <c r="Q10" s="43">
        <v>50.4</v>
      </c>
      <c r="R10" s="38">
        <v>101.7</v>
      </c>
      <c r="S10" s="43">
        <v>48.5</v>
      </c>
      <c r="T10" s="38"/>
      <c r="U10" s="43"/>
    </row>
    <row r="11" spans="1:21" ht="15">
      <c r="A11" s="2" t="s">
        <v>13</v>
      </c>
      <c r="B11" s="35"/>
      <c r="C11" s="43"/>
      <c r="D11" s="38"/>
      <c r="E11" s="41"/>
      <c r="F11" s="38">
        <v>0</v>
      </c>
      <c r="G11" s="41">
        <v>0</v>
      </c>
      <c r="H11" s="114"/>
      <c r="I11" s="43"/>
      <c r="J11" s="114">
        <v>40.42</v>
      </c>
      <c r="K11" s="43">
        <v>38.9</v>
      </c>
      <c r="L11" s="38"/>
      <c r="M11" s="43"/>
      <c r="N11" s="38">
        <v>33.52</v>
      </c>
      <c r="O11" s="43">
        <v>30.5</v>
      </c>
      <c r="P11" s="38">
        <v>91.2</v>
      </c>
      <c r="Q11" s="43">
        <v>56.4</v>
      </c>
      <c r="R11" s="38"/>
      <c r="S11" s="43"/>
      <c r="T11" s="38"/>
      <c r="U11" s="43"/>
    </row>
    <row r="12" spans="1:21" ht="15">
      <c r="A12" s="2" t="s">
        <v>14</v>
      </c>
      <c r="B12" s="35"/>
      <c r="C12" s="43"/>
      <c r="D12" s="38">
        <v>37.85</v>
      </c>
      <c r="E12" s="41">
        <v>66.6</v>
      </c>
      <c r="F12" s="38">
        <v>108.54</v>
      </c>
      <c r="G12" s="41">
        <v>115.2</v>
      </c>
      <c r="H12" s="114">
        <v>151.3</v>
      </c>
      <c r="I12" s="43">
        <v>157.2</v>
      </c>
      <c r="J12" s="114">
        <v>17.66</v>
      </c>
      <c r="K12" s="43">
        <v>17</v>
      </c>
      <c r="L12" s="38">
        <v>77.13</v>
      </c>
      <c r="M12" s="43">
        <v>71.67</v>
      </c>
      <c r="N12" s="38"/>
      <c r="O12" s="43"/>
      <c r="P12" s="38">
        <v>23.45</v>
      </c>
      <c r="Q12" s="43">
        <v>14.5</v>
      </c>
      <c r="R12" s="38"/>
      <c r="S12" s="43"/>
      <c r="T12" s="38"/>
      <c r="U12" s="43"/>
    </row>
    <row r="13" spans="1:21" ht="15">
      <c r="A13" s="2" t="s">
        <v>15</v>
      </c>
      <c r="B13" s="35"/>
      <c r="C13" s="43"/>
      <c r="D13" s="38"/>
      <c r="E13" s="41"/>
      <c r="F13" s="38">
        <v>0</v>
      </c>
      <c r="G13" s="41">
        <v>0</v>
      </c>
      <c r="H13" s="114"/>
      <c r="I13" s="43"/>
      <c r="J13" s="114">
        <v>0</v>
      </c>
      <c r="K13" s="43">
        <v>0</v>
      </c>
      <c r="L13" s="38"/>
      <c r="M13" s="43"/>
      <c r="N13" s="38"/>
      <c r="O13" s="43"/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/>
      <c r="C14" s="43"/>
      <c r="D14" s="38"/>
      <c r="E14" s="41"/>
      <c r="F14" s="38">
        <v>4.97</v>
      </c>
      <c r="G14" s="41">
        <v>5</v>
      </c>
      <c r="H14" s="114">
        <v>1.14</v>
      </c>
      <c r="I14" s="43">
        <v>1.1</v>
      </c>
      <c r="J14" s="114">
        <v>0</v>
      </c>
      <c r="K14" s="43">
        <v>0</v>
      </c>
      <c r="L14" s="38"/>
      <c r="M14" s="43"/>
      <c r="N14" s="38"/>
      <c r="O14" s="43"/>
      <c r="P14" s="38"/>
      <c r="Q14" s="43"/>
      <c r="R14" s="38">
        <v>145.39</v>
      </c>
      <c r="S14" s="43">
        <v>59.1</v>
      </c>
      <c r="T14" s="38"/>
      <c r="U14" s="43"/>
    </row>
    <row r="15" spans="1:21" ht="15">
      <c r="A15" s="2" t="s">
        <v>17</v>
      </c>
      <c r="B15" s="35"/>
      <c r="C15" s="43"/>
      <c r="D15" s="38"/>
      <c r="E15" s="41"/>
      <c r="F15" s="38">
        <v>0</v>
      </c>
      <c r="G15" s="41">
        <v>0</v>
      </c>
      <c r="H15" s="114"/>
      <c r="I15" s="43"/>
      <c r="J15" s="114">
        <v>0</v>
      </c>
      <c r="K15" s="43">
        <v>0</v>
      </c>
      <c r="L15" s="38"/>
      <c r="M15" s="43"/>
      <c r="N15" s="38"/>
      <c r="O15" s="43"/>
      <c r="P15" s="38"/>
      <c r="Q15" s="43"/>
      <c r="R15" s="38"/>
      <c r="S15" s="43"/>
      <c r="T15" s="38"/>
      <c r="U15" s="43"/>
    </row>
    <row r="16" spans="1:21" ht="15">
      <c r="A16" s="2" t="s">
        <v>18</v>
      </c>
      <c r="B16" s="35"/>
      <c r="C16" s="43"/>
      <c r="D16" s="38">
        <v>16.67</v>
      </c>
      <c r="E16" s="41">
        <v>21.7</v>
      </c>
      <c r="F16" s="38">
        <v>0</v>
      </c>
      <c r="G16" s="41">
        <v>0</v>
      </c>
      <c r="H16" s="114"/>
      <c r="J16" s="114">
        <v>31.17</v>
      </c>
      <c r="K16">
        <v>33.2</v>
      </c>
      <c r="L16" s="38">
        <v>28.9</v>
      </c>
      <c r="M16" s="43">
        <v>26.3</v>
      </c>
      <c r="N16" s="38">
        <v>111.72</v>
      </c>
      <c r="O16" s="43">
        <v>66.9</v>
      </c>
      <c r="P16" s="38"/>
      <c r="Q16" s="43"/>
      <c r="R16" s="38">
        <v>128.41</v>
      </c>
      <c r="S16" s="43">
        <v>52.2</v>
      </c>
      <c r="T16" s="38"/>
      <c r="U16" s="43"/>
    </row>
    <row r="17" spans="1:21" ht="15">
      <c r="A17" s="2" t="s">
        <v>19</v>
      </c>
      <c r="B17" s="35">
        <v>36.65</v>
      </c>
      <c r="C17" s="43">
        <v>69</v>
      </c>
      <c r="D17" s="38"/>
      <c r="E17" s="41"/>
      <c r="F17" s="38">
        <v>0</v>
      </c>
      <c r="G17" s="41">
        <v>0</v>
      </c>
      <c r="H17" s="114">
        <v>111.82</v>
      </c>
      <c r="I17" s="43">
        <v>107.1</v>
      </c>
      <c r="J17" s="114">
        <v>56.81</v>
      </c>
      <c r="K17" s="43">
        <v>60.5</v>
      </c>
      <c r="L17" s="38">
        <v>68.14</v>
      </c>
      <c r="M17" s="43">
        <v>62</v>
      </c>
      <c r="N17" s="38">
        <v>129.04</v>
      </c>
      <c r="O17" s="43">
        <v>79.8</v>
      </c>
      <c r="P17" s="38">
        <v>209.49</v>
      </c>
      <c r="Q17" s="43">
        <v>99.9</v>
      </c>
      <c r="R17" s="38">
        <v>132.35</v>
      </c>
      <c r="S17" s="43">
        <v>53.8</v>
      </c>
      <c r="T17" s="38"/>
      <c r="U17" s="43"/>
    </row>
    <row r="18" spans="1:21" ht="15.75" thickBot="1">
      <c r="A18" s="2" t="s">
        <v>20</v>
      </c>
      <c r="B18" s="99">
        <v>21.03</v>
      </c>
      <c r="C18" s="86">
        <v>43.2</v>
      </c>
      <c r="D18" s="38">
        <v>94.02</v>
      </c>
      <c r="E18" s="41">
        <v>113.5</v>
      </c>
      <c r="F18" s="38">
        <v>190.55</v>
      </c>
      <c r="G18" s="41">
        <v>191.7</v>
      </c>
      <c r="H18" s="114">
        <v>42.6</v>
      </c>
      <c r="I18" s="43">
        <v>41</v>
      </c>
      <c r="J18" s="114">
        <v>110.52</v>
      </c>
      <c r="K18" s="43">
        <v>117.7</v>
      </c>
      <c r="L18" s="38">
        <v>44.62</v>
      </c>
      <c r="M18" s="43">
        <v>40.6</v>
      </c>
      <c r="N18" s="38">
        <f>188.54+172.05</f>
        <v>360.59000000000003</v>
      </c>
      <c r="O18" s="43">
        <f>116.6+106.4</f>
        <v>223</v>
      </c>
      <c r="P18" s="38">
        <v>252.06</v>
      </c>
      <c r="Q18" s="43">
        <v>120.2</v>
      </c>
      <c r="R18" s="38">
        <v>154.98</v>
      </c>
      <c r="S18" s="43">
        <v>63</v>
      </c>
      <c r="T18" s="38"/>
      <c r="U18" s="43"/>
    </row>
    <row r="19" spans="1:21" s="1" customFormat="1" ht="15.75" thickBot="1">
      <c r="A19" s="2" t="s">
        <v>21</v>
      </c>
      <c r="B19" s="37">
        <f aca="true" t="shared" si="0" ref="B19:G19">SUM(B7:B18)</f>
        <v>57.68</v>
      </c>
      <c r="C19" s="52">
        <f t="shared" si="0"/>
        <v>112.2</v>
      </c>
      <c r="D19" s="39">
        <f t="shared" si="0"/>
        <v>310.05999999999995</v>
      </c>
      <c r="E19" s="42">
        <f t="shared" si="0"/>
        <v>501.59999999999997</v>
      </c>
      <c r="F19" s="39">
        <f t="shared" si="0"/>
        <v>739.3199999999999</v>
      </c>
      <c r="G19" s="42">
        <f t="shared" si="0"/>
        <v>715.9000000000001</v>
      </c>
      <c r="H19" s="117">
        <f aca="true" t="shared" si="1" ref="H19:M19">SUM(H7:H18)</f>
        <v>755.15</v>
      </c>
      <c r="I19" s="52">
        <f t="shared" si="1"/>
        <v>757.4000000000001</v>
      </c>
      <c r="J19" s="117">
        <f t="shared" si="1"/>
        <v>502.51000000000005</v>
      </c>
      <c r="K19" s="52">
        <f t="shared" si="1"/>
        <v>504</v>
      </c>
      <c r="L19" s="133">
        <f t="shared" si="1"/>
        <v>736.93</v>
      </c>
      <c r="M19" s="89">
        <f t="shared" si="1"/>
        <v>752.3699999999999</v>
      </c>
      <c r="N19" s="133">
        <f aca="true" t="shared" si="2" ref="N19:S19">SUM(N7:N18)</f>
        <v>1197.88</v>
      </c>
      <c r="O19" s="89">
        <f t="shared" si="2"/>
        <v>912.5</v>
      </c>
      <c r="P19" s="133">
        <f t="shared" si="2"/>
        <v>1217.66</v>
      </c>
      <c r="Q19" s="89">
        <f t="shared" si="2"/>
        <v>687.7</v>
      </c>
      <c r="R19" s="133">
        <f t="shared" si="2"/>
        <v>1333.6599999999999</v>
      </c>
      <c r="S19" s="89">
        <f t="shared" si="2"/>
        <v>596.5</v>
      </c>
      <c r="T19" s="133">
        <f>SUM(T7:T18)</f>
        <v>906.27</v>
      </c>
      <c r="U19" s="89">
        <f>SUM(U7:U18)</f>
        <v>368.4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U19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V10" sqref="V10"/>
    </sheetView>
  </sheetViews>
  <sheetFormatPr defaultColWidth="11.5546875" defaultRowHeight="15"/>
  <cols>
    <col min="1" max="1" width="14.3359375" style="3" bestFit="1" customWidth="1"/>
    <col min="2" max="2" width="8.88671875" style="8" customWidth="1"/>
    <col min="3" max="3" width="8.6640625" style="0" customWidth="1"/>
    <col min="4" max="4" width="9.4453125" style="8" customWidth="1"/>
    <col min="5" max="5" width="8.6640625" style="0" customWidth="1"/>
    <col min="6" max="6" width="10.10546875" style="0" customWidth="1"/>
    <col min="7" max="11" width="8.6640625" style="0" customWidth="1"/>
    <col min="12" max="12" width="9.4453125" style="0" customWidth="1"/>
    <col min="13" max="13" width="8.6640625" style="0" customWidth="1"/>
    <col min="14" max="14" width="9.6640625" style="0" bestFit="1" customWidth="1"/>
    <col min="15" max="15" width="8.6640625" style="0" customWidth="1"/>
    <col min="16" max="16" width="9.6640625" style="0" bestFit="1" customWidth="1"/>
    <col min="17" max="17" width="8.6640625" style="0" customWidth="1"/>
    <col min="18" max="18" width="9.88671875" style="0" customWidth="1"/>
    <col min="19" max="19" width="8.6640625" style="0" customWidth="1"/>
    <col min="20" max="20" width="9.6640625" style="0" bestFit="1" customWidth="1"/>
    <col min="21" max="16384" width="8.6640625" style="0" customWidth="1"/>
  </cols>
  <sheetData>
    <row r="2" ht="15.75" thickBot="1">
      <c r="A2" s="153" t="s">
        <v>28</v>
      </c>
    </row>
    <row r="3" spans="1:21" s="5" customFormat="1" ht="16.5">
      <c r="A3" s="155"/>
      <c r="B3" s="45">
        <v>1998</v>
      </c>
      <c r="C3" s="46"/>
      <c r="D3" s="26">
        <v>1999</v>
      </c>
      <c r="E3" s="28"/>
      <c r="F3" s="26">
        <v>2000</v>
      </c>
      <c r="G3" s="28"/>
      <c r="H3" s="88">
        <v>2001</v>
      </c>
      <c r="I3" s="46"/>
      <c r="J3" s="88">
        <v>2001</v>
      </c>
      <c r="K3" s="46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5" customFormat="1" ht="15">
      <c r="A4" s="4"/>
      <c r="B4" s="32" t="s">
        <v>5</v>
      </c>
      <c r="C4" s="34"/>
      <c r="D4" s="29" t="s">
        <v>5</v>
      </c>
      <c r="E4" s="31"/>
      <c r="F4" s="29" t="s">
        <v>5</v>
      </c>
      <c r="G4" s="31"/>
      <c r="H4" s="81" t="s">
        <v>5</v>
      </c>
      <c r="I4" s="34"/>
      <c r="J4" s="81" t="s">
        <v>5</v>
      </c>
      <c r="K4" s="34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5" customFormat="1" ht="15">
      <c r="A5" s="4" t="s">
        <v>22</v>
      </c>
      <c r="B5" s="32" t="s">
        <v>8</v>
      </c>
      <c r="C5" s="34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81" t="s">
        <v>8</v>
      </c>
      <c r="I5" s="34" t="s">
        <v>7</v>
      </c>
      <c r="J5" s="81" t="s">
        <v>8</v>
      </c>
      <c r="K5" s="34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32"/>
      <c r="C6" s="34"/>
      <c r="D6" s="32"/>
      <c r="E6" s="34"/>
      <c r="F6" s="32"/>
      <c r="G6" s="34"/>
      <c r="H6" s="81"/>
      <c r="I6" s="34"/>
      <c r="J6" s="81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/>
      <c r="C7" s="43"/>
      <c r="D7" s="38">
        <v>185.8</v>
      </c>
      <c r="E7" s="41">
        <v>356.9</v>
      </c>
      <c r="F7" s="38">
        <v>265.55</v>
      </c>
      <c r="G7" s="41">
        <v>277.8</v>
      </c>
      <c r="H7" s="97">
        <v>324.64</v>
      </c>
      <c r="I7" s="43">
        <v>326.6</v>
      </c>
      <c r="J7" s="97">
        <v>388.79</v>
      </c>
      <c r="K7" s="43">
        <v>374.2</v>
      </c>
      <c r="L7" s="38">
        <v>530.82</v>
      </c>
      <c r="M7" s="43">
        <v>565.3</v>
      </c>
      <c r="N7" s="38">
        <v>453.23</v>
      </c>
      <c r="O7" s="43">
        <v>412.4</v>
      </c>
      <c r="P7" s="38">
        <f>214.9+338.6</f>
        <v>553.5</v>
      </c>
      <c r="Q7" s="43">
        <f>132.9+209.4</f>
        <v>342.3</v>
      </c>
      <c r="R7" s="38">
        <v>430.72</v>
      </c>
      <c r="S7" s="43">
        <v>205.4</v>
      </c>
      <c r="T7" s="38">
        <f>443.29+421.15</f>
        <v>864.44</v>
      </c>
      <c r="U7" s="43">
        <f>180.2+171.2</f>
        <v>351.4</v>
      </c>
    </row>
    <row r="8" spans="1:21" ht="15">
      <c r="A8" s="2" t="s">
        <v>10</v>
      </c>
      <c r="B8" s="35"/>
      <c r="C8" s="43"/>
      <c r="D8" s="38">
        <v>158.26</v>
      </c>
      <c r="E8" s="41">
        <v>322.2</v>
      </c>
      <c r="F8" s="38">
        <v>266.95</v>
      </c>
      <c r="G8" s="41">
        <v>192.9</v>
      </c>
      <c r="H8" s="90">
        <v>120.77</v>
      </c>
      <c r="I8" s="43">
        <v>121.5</v>
      </c>
      <c r="J8" s="90">
        <v>374.25</v>
      </c>
      <c r="K8" s="43">
        <v>360.2</v>
      </c>
      <c r="L8" s="38">
        <v>351.47</v>
      </c>
      <c r="M8" s="43">
        <v>374.3</v>
      </c>
      <c r="N8" s="38">
        <v>565.66</v>
      </c>
      <c r="O8" s="43">
        <v>514.7</v>
      </c>
      <c r="P8" s="38">
        <f>259.69+233.82</f>
        <v>493.51</v>
      </c>
      <c r="Q8" s="43">
        <f>160.6+144.6</f>
        <v>305.2</v>
      </c>
      <c r="R8" s="38">
        <v>737.1</v>
      </c>
      <c r="S8" s="43">
        <v>351.5</v>
      </c>
      <c r="T8" s="38">
        <f>526.69+461.5</f>
        <v>988.19</v>
      </c>
      <c r="U8" s="43">
        <f>214.1+187.6</f>
        <v>401.7</v>
      </c>
    </row>
    <row r="9" spans="1:21" ht="15">
      <c r="A9" s="2" t="s">
        <v>11</v>
      </c>
      <c r="B9" s="35"/>
      <c r="C9" s="43"/>
      <c r="D9" s="38">
        <v>78.42</v>
      </c>
      <c r="E9" s="41">
        <v>152.9</v>
      </c>
      <c r="F9" s="38">
        <v>170.71</v>
      </c>
      <c r="G9" s="41">
        <v>162.6</v>
      </c>
      <c r="H9" s="97">
        <v>356.25</v>
      </c>
      <c r="I9" s="83">
        <v>193.07</v>
      </c>
      <c r="J9" s="97">
        <v>373.73</v>
      </c>
      <c r="K9" s="83">
        <v>359.7</v>
      </c>
      <c r="L9" s="38">
        <v>337.66</v>
      </c>
      <c r="M9" s="43">
        <v>359.6</v>
      </c>
      <c r="N9" s="38">
        <v>377.29</v>
      </c>
      <c r="O9" s="43">
        <v>343.3</v>
      </c>
      <c r="P9" s="38">
        <f>277.32+250.96</f>
        <v>528.28</v>
      </c>
      <c r="Q9" s="43">
        <f>171.5+155.2</f>
        <v>326.7</v>
      </c>
      <c r="R9" s="38">
        <v>757.23</v>
      </c>
      <c r="S9" s="43">
        <v>361.1</v>
      </c>
      <c r="T9" s="38">
        <v>317.59</v>
      </c>
      <c r="U9" s="43">
        <v>129.1</v>
      </c>
    </row>
    <row r="10" spans="1:21" ht="15">
      <c r="A10" s="2" t="s">
        <v>23</v>
      </c>
      <c r="B10" s="35"/>
      <c r="C10" s="43"/>
      <c r="D10" s="38">
        <v>100.47</v>
      </c>
      <c r="E10" s="41">
        <v>169.8</v>
      </c>
      <c r="F10" s="38">
        <v>180.28</v>
      </c>
      <c r="G10" s="41">
        <v>196.4</v>
      </c>
      <c r="H10" s="90">
        <v>266.66</v>
      </c>
      <c r="I10" s="43">
        <v>222.4</v>
      </c>
      <c r="J10" s="90">
        <v>177.36</v>
      </c>
      <c r="K10" s="43">
        <v>170.7</v>
      </c>
      <c r="L10" s="38">
        <v>210.34</v>
      </c>
      <c r="M10" s="43">
        <v>224</v>
      </c>
      <c r="N10" s="38">
        <v>219.36</v>
      </c>
      <c r="O10" s="43">
        <v>199.6</v>
      </c>
      <c r="P10" s="38">
        <v>222.83</v>
      </c>
      <c r="Q10" s="43">
        <v>137.8</v>
      </c>
      <c r="R10" s="38">
        <v>253.95</v>
      </c>
      <c r="S10" s="43">
        <v>121.1</v>
      </c>
      <c r="T10" s="38">
        <v>487.33</v>
      </c>
      <c r="U10" s="43">
        <v>198.1</v>
      </c>
    </row>
    <row r="11" spans="1:21" ht="15">
      <c r="A11" s="2" t="s">
        <v>13</v>
      </c>
      <c r="B11" s="35"/>
      <c r="C11" s="43"/>
      <c r="D11" s="38">
        <v>121.96</v>
      </c>
      <c r="E11" s="41">
        <v>197.7</v>
      </c>
      <c r="F11" s="38">
        <v>195.53</v>
      </c>
      <c r="G11" s="41">
        <v>191.7</v>
      </c>
      <c r="H11" s="90">
        <v>194.81</v>
      </c>
      <c r="I11" s="43">
        <v>187.5</v>
      </c>
      <c r="J11" s="90">
        <v>213.31</v>
      </c>
      <c r="K11" s="43">
        <v>205.3</v>
      </c>
      <c r="L11" s="38">
        <v>192.59</v>
      </c>
      <c r="M11" s="43">
        <v>205.1</v>
      </c>
      <c r="N11" s="38">
        <v>251.78</v>
      </c>
      <c r="O11" s="43">
        <v>229.1</v>
      </c>
      <c r="P11" s="38">
        <v>245.62</v>
      </c>
      <c r="Q11" s="43">
        <v>151.9</v>
      </c>
      <c r="R11" s="38">
        <v>258.98</v>
      </c>
      <c r="S11" s="43">
        <v>123.5</v>
      </c>
      <c r="T11" s="38"/>
      <c r="U11" s="43"/>
    </row>
    <row r="12" spans="1:21" ht="15">
      <c r="A12" s="2" t="s">
        <v>14</v>
      </c>
      <c r="B12" s="35"/>
      <c r="C12" s="43"/>
      <c r="D12" s="38">
        <v>51.47</v>
      </c>
      <c r="E12" s="41">
        <v>87.3</v>
      </c>
      <c r="F12" s="38">
        <v>112.5</v>
      </c>
      <c r="G12" s="41">
        <v>119.4</v>
      </c>
      <c r="H12" s="90">
        <v>56.42</v>
      </c>
      <c r="I12" s="43">
        <v>54.3</v>
      </c>
      <c r="J12" s="90">
        <v>98.91</v>
      </c>
      <c r="K12" s="43">
        <v>95.2</v>
      </c>
      <c r="L12" s="38">
        <v>175.95</v>
      </c>
      <c r="M12" s="43">
        <v>160.1</v>
      </c>
      <c r="N12" s="38">
        <v>80.56</v>
      </c>
      <c r="O12" s="43">
        <v>73.3</v>
      </c>
      <c r="P12" s="38">
        <v>72.28</v>
      </c>
      <c r="Q12" s="43">
        <v>44.7</v>
      </c>
      <c r="R12" s="38"/>
      <c r="S12" s="43"/>
      <c r="T12" s="38"/>
      <c r="U12" s="43"/>
    </row>
    <row r="13" spans="1:21" ht="15">
      <c r="A13" s="2" t="s">
        <v>15</v>
      </c>
      <c r="B13" s="35"/>
      <c r="C13" s="43"/>
      <c r="D13" s="38"/>
      <c r="E13" s="41"/>
      <c r="F13" s="38">
        <v>0</v>
      </c>
      <c r="G13" s="41">
        <v>0</v>
      </c>
      <c r="H13" s="90"/>
      <c r="I13" s="43"/>
      <c r="J13" s="90">
        <v>0</v>
      </c>
      <c r="K13" s="43">
        <v>0</v>
      </c>
      <c r="L13" s="38"/>
      <c r="M13" s="43"/>
      <c r="N13" s="38"/>
      <c r="O13" s="43"/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/>
      <c r="C14" s="43"/>
      <c r="D14" s="38">
        <v>50.19</v>
      </c>
      <c r="E14" s="41">
        <v>68.4</v>
      </c>
      <c r="F14" s="38">
        <v>0</v>
      </c>
      <c r="G14" s="41">
        <v>0</v>
      </c>
      <c r="H14" s="90">
        <v>114.71</v>
      </c>
      <c r="I14" s="43">
        <v>110.4</v>
      </c>
      <c r="J14" s="90">
        <v>136.8</v>
      </c>
      <c r="K14" s="43">
        <v>128.46</v>
      </c>
      <c r="L14" s="38"/>
      <c r="M14" s="43"/>
      <c r="N14" s="38">
        <v>86.82</v>
      </c>
      <c r="O14" s="43">
        <v>79</v>
      </c>
      <c r="P14" s="38">
        <v>123.09</v>
      </c>
      <c r="Q14" s="43">
        <v>58.7</v>
      </c>
      <c r="R14" s="38">
        <v>228.78</v>
      </c>
      <c r="S14" s="43">
        <v>93</v>
      </c>
      <c r="T14" s="38"/>
      <c r="U14" s="43"/>
    </row>
    <row r="15" spans="1:21" ht="15">
      <c r="A15" s="2" t="s">
        <v>17</v>
      </c>
      <c r="B15" s="35"/>
      <c r="C15" s="43"/>
      <c r="D15" s="38"/>
      <c r="E15" s="41"/>
      <c r="F15" s="38">
        <v>0</v>
      </c>
      <c r="G15" s="41">
        <v>0</v>
      </c>
      <c r="H15" s="90"/>
      <c r="I15" s="43"/>
      <c r="J15" s="90">
        <v>0</v>
      </c>
      <c r="K15" s="43">
        <v>0</v>
      </c>
      <c r="L15" s="38">
        <v>174.85</v>
      </c>
      <c r="M15" s="43">
        <v>159.1</v>
      </c>
      <c r="N15" s="38"/>
      <c r="O15" s="43"/>
      <c r="P15" s="38"/>
      <c r="Q15" s="43"/>
      <c r="R15" s="38"/>
      <c r="S15" s="43"/>
      <c r="T15" s="38"/>
      <c r="U15" s="43"/>
    </row>
    <row r="16" spans="1:21" ht="15">
      <c r="A16" s="2" t="s">
        <v>18</v>
      </c>
      <c r="B16" s="35">
        <v>56.8</v>
      </c>
      <c r="C16" s="43">
        <v>110.5</v>
      </c>
      <c r="D16" s="38">
        <v>106.35</v>
      </c>
      <c r="E16" s="41">
        <v>38.4</v>
      </c>
      <c r="F16" s="38">
        <v>200.29</v>
      </c>
      <c r="G16" s="41">
        <v>201.5</v>
      </c>
      <c r="H16" s="90">
        <v>182.45</v>
      </c>
      <c r="I16" s="43">
        <v>175.6</v>
      </c>
      <c r="J16" s="90">
        <v>164.51</v>
      </c>
      <c r="K16" s="43">
        <v>175.2</v>
      </c>
      <c r="L16" s="38">
        <v>342.78</v>
      </c>
      <c r="M16" s="43">
        <v>311.9</v>
      </c>
      <c r="N16" s="38">
        <v>276.39</v>
      </c>
      <c r="O16" s="43">
        <v>165.5</v>
      </c>
      <c r="P16" s="38">
        <v>233.82</v>
      </c>
      <c r="Q16" s="43">
        <v>111.5</v>
      </c>
      <c r="R16" s="38">
        <v>593.11</v>
      </c>
      <c r="S16" s="43">
        <v>241.1</v>
      </c>
      <c r="T16" s="38"/>
      <c r="U16" s="43"/>
    </row>
    <row r="17" spans="1:21" ht="15">
      <c r="A17" s="2" t="s">
        <v>19</v>
      </c>
      <c r="B17" s="35">
        <v>108.16</v>
      </c>
      <c r="C17" s="43">
        <v>202.9</v>
      </c>
      <c r="D17" s="38">
        <v>223.66</v>
      </c>
      <c r="E17" s="41">
        <v>271</v>
      </c>
      <c r="F17" s="38">
        <v>811.59</v>
      </c>
      <c r="G17" s="41">
        <v>290.7</v>
      </c>
      <c r="H17" s="90">
        <v>355.44</v>
      </c>
      <c r="I17" s="43">
        <v>342.1</v>
      </c>
      <c r="J17" s="90">
        <v>432.31</v>
      </c>
      <c r="K17" s="43">
        <v>460.4</v>
      </c>
      <c r="L17" s="38">
        <v>188.7</v>
      </c>
      <c r="M17" s="43">
        <v>171.7</v>
      </c>
      <c r="N17" s="38">
        <f>220.4+240.93</f>
        <v>461.33000000000004</v>
      </c>
      <c r="O17" s="43">
        <f>136.3+149</f>
        <v>285.3</v>
      </c>
      <c r="P17" s="38">
        <v>619.67</v>
      </c>
      <c r="Q17" s="43">
        <v>295.5</v>
      </c>
      <c r="R17" s="38">
        <v>399.75</v>
      </c>
      <c r="S17" s="43">
        <v>162.5</v>
      </c>
      <c r="T17" s="38"/>
      <c r="U17" s="43"/>
    </row>
    <row r="18" spans="1:21" ht="15.75" thickBot="1">
      <c r="A18" s="2" t="s">
        <v>20</v>
      </c>
      <c r="B18" s="99">
        <v>69.29</v>
      </c>
      <c r="C18" s="86">
        <v>142.3</v>
      </c>
      <c r="D18" s="38">
        <v>247.89</v>
      </c>
      <c r="E18" s="41">
        <v>290.6</v>
      </c>
      <c r="F18" s="38">
        <v>301.58</v>
      </c>
      <c r="G18" s="41">
        <v>303.4</v>
      </c>
      <c r="H18" s="90">
        <v>185.67</v>
      </c>
      <c r="I18" s="43">
        <v>178.7</v>
      </c>
      <c r="J18" s="90">
        <v>346.12</v>
      </c>
      <c r="K18" s="43">
        <v>368.6</v>
      </c>
      <c r="L18" s="38">
        <v>567.19</v>
      </c>
      <c r="M18" s="43">
        <v>516.1</v>
      </c>
      <c r="N18" s="38">
        <f>252.9+183.53+211.18</f>
        <v>647.61</v>
      </c>
      <c r="O18" s="43">
        <f>156.4+113.5+130.6</f>
        <v>400.5</v>
      </c>
      <c r="P18" s="38">
        <v>760.17</v>
      </c>
      <c r="Q18" s="43">
        <v>362.5</v>
      </c>
      <c r="R18" s="38">
        <v>476.26</v>
      </c>
      <c r="S18" s="43">
        <v>193.6</v>
      </c>
      <c r="T18" s="38"/>
      <c r="U18" s="43"/>
    </row>
    <row r="19" spans="1:21" s="15" customFormat="1" ht="15.75" thickBot="1">
      <c r="A19" s="14" t="s">
        <v>21</v>
      </c>
      <c r="B19" s="54">
        <f aca="true" t="shared" si="0" ref="B19:G19">SUM(B7:B18)</f>
        <v>234.25</v>
      </c>
      <c r="C19" s="55">
        <f t="shared" si="0"/>
        <v>455.7</v>
      </c>
      <c r="D19" s="93">
        <f t="shared" si="0"/>
        <v>1324.4700000000003</v>
      </c>
      <c r="E19" s="94">
        <f t="shared" si="0"/>
        <v>1955.2000000000003</v>
      </c>
      <c r="F19" s="93">
        <f t="shared" si="0"/>
        <v>2504.98</v>
      </c>
      <c r="G19" s="94">
        <f t="shared" si="0"/>
        <v>1936.4</v>
      </c>
      <c r="H19" s="102">
        <f aca="true" t="shared" si="1" ref="H19:M19">SUM(H7:H18)</f>
        <v>2157.82</v>
      </c>
      <c r="I19" s="55">
        <f t="shared" si="1"/>
        <v>1912.1700000000003</v>
      </c>
      <c r="J19" s="102">
        <f t="shared" si="1"/>
        <v>2706.09</v>
      </c>
      <c r="K19" s="55">
        <f t="shared" si="1"/>
        <v>2697.96</v>
      </c>
      <c r="L19" s="133">
        <f t="shared" si="1"/>
        <v>3072.35</v>
      </c>
      <c r="M19" s="89">
        <f t="shared" si="1"/>
        <v>3047.1999999999994</v>
      </c>
      <c r="N19" s="133">
        <f aca="true" t="shared" si="2" ref="N19:S19">SUM(N7:N18)</f>
        <v>3420.0299999999997</v>
      </c>
      <c r="O19" s="89">
        <f t="shared" si="2"/>
        <v>2702.7</v>
      </c>
      <c r="P19" s="133">
        <f t="shared" si="2"/>
        <v>3852.7700000000004</v>
      </c>
      <c r="Q19" s="89">
        <f t="shared" si="2"/>
        <v>2136.8</v>
      </c>
      <c r="R19" s="133">
        <f t="shared" si="2"/>
        <v>4135.88</v>
      </c>
      <c r="S19" s="89">
        <f t="shared" si="2"/>
        <v>1852.7999999999997</v>
      </c>
      <c r="T19" s="133">
        <f>SUM(T7:T18)</f>
        <v>2657.55</v>
      </c>
      <c r="U19" s="89">
        <f>SUM(U7:U18)</f>
        <v>1080.3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zoomScale="75" zoomScaleNormal="75" workbookViewId="0" topLeftCell="A15">
      <pane xSplit="1" topLeftCell="B1" activePane="topRight" state="frozen"/>
      <selection pane="topLeft" activeCell="A1" sqref="A1"/>
      <selection pane="topRight" activeCell="U11" sqref="U11"/>
    </sheetView>
  </sheetViews>
  <sheetFormatPr defaultColWidth="11.5546875" defaultRowHeight="15"/>
  <cols>
    <col min="1" max="1" width="14.3359375" style="3" bestFit="1" customWidth="1"/>
    <col min="2" max="2" width="8.6640625" style="8" bestFit="1" customWidth="1"/>
    <col min="3" max="3" width="9.6640625" style="0" bestFit="1" customWidth="1"/>
    <col min="4" max="4" width="9.6640625" style="8" bestFit="1" customWidth="1"/>
    <col min="5" max="5" width="9.6640625" style="0" bestFit="1" customWidth="1"/>
    <col min="7" max="7" width="9.6640625" style="0" bestFit="1" customWidth="1"/>
    <col min="8" max="8" width="11.3359375" style="111" customWidth="1"/>
    <col min="9" max="9" width="9.6640625" style="0" bestFit="1" customWidth="1"/>
    <col min="10" max="10" width="11.3359375" style="0" bestFit="1" customWidth="1"/>
    <col min="11" max="11" width="9.6640625" style="0" bestFit="1" customWidth="1"/>
    <col min="13" max="13" width="9.6640625" style="0" bestFit="1" customWidth="1"/>
    <col min="15" max="15" width="9.6640625" style="0" bestFit="1" customWidth="1"/>
    <col min="17" max="17" width="8.6640625" style="0" customWidth="1"/>
    <col min="18" max="18" width="11.10546875" style="0" customWidth="1"/>
    <col min="19" max="19" width="8.6640625" style="0" customWidth="1"/>
    <col min="21" max="16384" width="8.6640625" style="0" customWidth="1"/>
  </cols>
  <sheetData>
    <row r="1" ht="15">
      <c r="A1" s="153" t="s">
        <v>28</v>
      </c>
    </row>
    <row r="2" ht="15.75" thickBot="1"/>
    <row r="3" spans="1:21" s="11" customFormat="1" ht="16.5">
      <c r="A3" s="154"/>
      <c r="B3" s="45">
        <v>1998</v>
      </c>
      <c r="C3" s="53"/>
      <c r="D3" s="26">
        <v>1999</v>
      </c>
      <c r="E3" s="28"/>
      <c r="F3" s="26">
        <v>2000</v>
      </c>
      <c r="G3" s="28"/>
      <c r="H3" s="124">
        <v>2001</v>
      </c>
      <c r="I3" s="53"/>
      <c r="J3" s="124">
        <v>2002</v>
      </c>
      <c r="K3" s="53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5" customFormat="1" ht="16.5">
      <c r="A4" s="154"/>
      <c r="B4" s="32" t="s">
        <v>5</v>
      </c>
      <c r="C4" s="34"/>
      <c r="D4" s="29" t="s">
        <v>5</v>
      </c>
      <c r="E4" s="31"/>
      <c r="F4" s="29" t="s">
        <v>5</v>
      </c>
      <c r="G4" s="31"/>
      <c r="H4" s="112" t="s">
        <v>5</v>
      </c>
      <c r="I4" s="34"/>
      <c r="J4" s="112" t="s">
        <v>5</v>
      </c>
      <c r="K4" s="34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5" customFormat="1" ht="15">
      <c r="A5" s="4" t="s">
        <v>22</v>
      </c>
      <c r="B5" s="32" t="s">
        <v>8</v>
      </c>
      <c r="C5" s="34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112" t="s">
        <v>8</v>
      </c>
      <c r="I5" s="34" t="s">
        <v>7</v>
      </c>
      <c r="J5" s="112" t="s">
        <v>8</v>
      </c>
      <c r="K5" s="34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32"/>
      <c r="C6" s="34"/>
      <c r="D6" s="32"/>
      <c r="E6" s="34"/>
      <c r="F6" s="32"/>
      <c r="G6" s="34"/>
      <c r="H6" s="112"/>
      <c r="I6" s="34"/>
      <c r="J6" s="112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/>
      <c r="C7" s="43"/>
      <c r="D7" s="38">
        <v>830.62</v>
      </c>
      <c r="E7" s="41">
        <v>1643</v>
      </c>
      <c r="F7" s="38">
        <v>2583.37</v>
      </c>
      <c r="G7" s="41">
        <v>2976.3</v>
      </c>
      <c r="H7" s="113">
        <v>1194.49</v>
      </c>
      <c r="I7" s="83">
        <v>597.8</v>
      </c>
      <c r="J7" s="113">
        <v>2012.86</v>
      </c>
      <c r="K7" s="83">
        <v>1937.3</v>
      </c>
      <c r="L7" s="38">
        <v>2086.36</v>
      </c>
      <c r="M7" s="43">
        <v>2221.9</v>
      </c>
      <c r="N7" s="38">
        <v>2237.79</v>
      </c>
      <c r="O7" s="43">
        <v>2036.2</v>
      </c>
      <c r="P7" s="38">
        <f>613.81+656.83+823.05</f>
        <v>2093.6899999999996</v>
      </c>
      <c r="Q7" s="43">
        <f>379.6+406.2+509</f>
        <v>1294.8</v>
      </c>
      <c r="R7" s="38">
        <v>3294.6</v>
      </c>
      <c r="S7" s="43">
        <v>1571.1</v>
      </c>
      <c r="T7" s="38">
        <f>1133.57+1102.08+1784.73</f>
        <v>4020.3799999999997</v>
      </c>
      <c r="U7" s="43">
        <f>460.8+448+725.5</f>
        <v>1634.3</v>
      </c>
    </row>
    <row r="8" spans="1:21" ht="15">
      <c r="A8" s="2" t="s">
        <v>10</v>
      </c>
      <c r="B8" s="35"/>
      <c r="C8" s="43"/>
      <c r="D8" s="38">
        <v>692.01</v>
      </c>
      <c r="E8" s="41">
        <v>1373.3</v>
      </c>
      <c r="F8" s="38">
        <v>1586.66</v>
      </c>
      <c r="G8" s="41">
        <v>1030.3</v>
      </c>
      <c r="H8" s="113">
        <v>1641.89</v>
      </c>
      <c r="I8" s="83">
        <v>1651.8</v>
      </c>
      <c r="J8" s="113">
        <v>1214.07</v>
      </c>
      <c r="K8" s="83">
        <v>1168.5</v>
      </c>
      <c r="L8" s="38">
        <v>1211.4</v>
      </c>
      <c r="M8" s="43">
        <v>1290.1</v>
      </c>
      <c r="N8" s="38">
        <v>1949.62</v>
      </c>
      <c r="O8" s="43">
        <v>1774</v>
      </c>
      <c r="P8" s="38">
        <f>890.81+983.62+1040.86</f>
        <v>2915.29</v>
      </c>
      <c r="Q8" s="43">
        <f>550.9+608.3+643.7</f>
        <v>1802.8999999999999</v>
      </c>
      <c r="R8" s="38">
        <v>2494.38</v>
      </c>
      <c r="S8" s="43">
        <v>1189.5</v>
      </c>
      <c r="T8" s="38">
        <f>1430.98+1428.03+1879.19</f>
        <v>4738.200000000001</v>
      </c>
      <c r="U8" s="43">
        <f>581.7+580.5+763.9</f>
        <v>1926.1</v>
      </c>
    </row>
    <row r="9" spans="1:21" ht="15">
      <c r="A9" s="2" t="s">
        <v>11</v>
      </c>
      <c r="B9" s="35"/>
      <c r="C9" s="43"/>
      <c r="D9" s="38">
        <v>949.28</v>
      </c>
      <c r="E9" s="41">
        <v>1850.8</v>
      </c>
      <c r="F9" s="38">
        <v>1529.43</v>
      </c>
      <c r="G9" s="41">
        <v>1579.2</v>
      </c>
      <c r="H9" s="114">
        <v>1800.13</v>
      </c>
      <c r="I9" s="43">
        <v>1811</v>
      </c>
      <c r="J9" s="114">
        <v>1148.61</v>
      </c>
      <c r="K9" s="43">
        <v>1105.5</v>
      </c>
      <c r="L9" s="38">
        <v>1963.35</v>
      </c>
      <c r="M9" s="43">
        <v>2117.9</v>
      </c>
      <c r="N9" s="38">
        <v>1801.82</v>
      </c>
      <c r="O9" s="43">
        <v>1639.5</v>
      </c>
      <c r="P9" s="38">
        <f>971.01+1261.26+524.39</f>
        <v>2756.66</v>
      </c>
      <c r="Q9" s="43">
        <f>600.5+780+324.3</f>
        <v>1704.8</v>
      </c>
      <c r="R9" s="38">
        <v>3509.33</v>
      </c>
      <c r="S9" s="43">
        <v>1673.5</v>
      </c>
      <c r="T9" s="38">
        <f>961.61+809.59+771.7</f>
        <v>2542.9</v>
      </c>
      <c r="U9" s="43">
        <f>390.9+329.1+313.7</f>
        <v>1033.7</v>
      </c>
    </row>
    <row r="10" spans="1:21" ht="15">
      <c r="A10" s="2" t="s">
        <v>23</v>
      </c>
      <c r="B10" s="35"/>
      <c r="C10" s="43"/>
      <c r="D10" s="38">
        <v>546.97</v>
      </c>
      <c r="E10" s="41">
        <v>924.4</v>
      </c>
      <c r="F10" s="38">
        <v>1753.81</v>
      </c>
      <c r="G10" s="41">
        <v>1905.3</v>
      </c>
      <c r="H10" s="114">
        <v>1131.98</v>
      </c>
      <c r="I10" s="43">
        <v>944.1</v>
      </c>
      <c r="J10" s="114">
        <v>1091.78</v>
      </c>
      <c r="K10" s="43">
        <v>1050.8</v>
      </c>
      <c r="L10" s="38">
        <v>512.7</v>
      </c>
      <c r="M10" s="43">
        <v>546</v>
      </c>
      <c r="N10" s="38">
        <v>1021.52</v>
      </c>
      <c r="O10" s="43">
        <v>929.5</v>
      </c>
      <c r="P10" s="38">
        <v>1472.6</v>
      </c>
      <c r="Q10" s="43">
        <v>910.7</v>
      </c>
      <c r="R10" s="38">
        <v>2012.28</v>
      </c>
      <c r="S10" s="43">
        <v>959.6</v>
      </c>
      <c r="T10" s="38">
        <f>1272.07+1047.96</f>
        <v>2320.0299999999997</v>
      </c>
      <c r="U10" s="43">
        <f>517.1+426</f>
        <v>943.1</v>
      </c>
    </row>
    <row r="11" spans="1:21" ht="15">
      <c r="A11" s="2" t="s">
        <v>13</v>
      </c>
      <c r="B11" s="35"/>
      <c r="C11" s="43"/>
      <c r="D11" s="38">
        <v>747.37</v>
      </c>
      <c r="E11" s="41">
        <v>1227.7</v>
      </c>
      <c r="F11" s="38">
        <v>0</v>
      </c>
      <c r="G11" s="41">
        <v>0</v>
      </c>
      <c r="H11" s="114">
        <v>626</v>
      </c>
      <c r="I11" s="43">
        <v>602.5</v>
      </c>
      <c r="J11" s="114">
        <v>1502.71</v>
      </c>
      <c r="K11" s="43">
        <v>1446.3</v>
      </c>
      <c r="L11" s="38">
        <v>1616.02</v>
      </c>
      <c r="M11" s="43">
        <v>1721</v>
      </c>
      <c r="N11" s="38">
        <v>827.98</v>
      </c>
      <c r="O11" s="43">
        <v>753.4</v>
      </c>
      <c r="P11" s="38">
        <v>1314.13</v>
      </c>
      <c r="Q11" s="43">
        <v>812.7</v>
      </c>
      <c r="R11" s="38">
        <v>1003.2</v>
      </c>
      <c r="S11" s="43">
        <v>478.4</v>
      </c>
      <c r="T11" s="38"/>
      <c r="U11" s="43"/>
    </row>
    <row r="12" spans="1:21" ht="15">
      <c r="A12" s="2" t="s">
        <v>14</v>
      </c>
      <c r="B12" s="35"/>
      <c r="C12" s="43"/>
      <c r="D12" s="38">
        <v>297.45</v>
      </c>
      <c r="E12" s="41">
        <v>523.4</v>
      </c>
      <c r="F12" s="38">
        <v>1541.09</v>
      </c>
      <c r="G12" s="41">
        <v>1605.8</v>
      </c>
      <c r="H12" s="114">
        <v>1505.1</v>
      </c>
      <c r="I12" s="43">
        <v>1448.6</v>
      </c>
      <c r="J12" s="114">
        <v>616.27</v>
      </c>
      <c r="K12" s="43">
        <v>656.3</v>
      </c>
      <c r="L12" s="38"/>
      <c r="M12" s="43"/>
      <c r="N12" s="38">
        <v>297.61</v>
      </c>
      <c r="O12" s="43">
        <v>270.8</v>
      </c>
      <c r="P12" s="38">
        <v>410.23</v>
      </c>
      <c r="Q12" s="43">
        <v>253.7</v>
      </c>
      <c r="R12" s="38">
        <v>713.82</v>
      </c>
      <c r="S12" s="43">
        <v>340.4</v>
      </c>
      <c r="T12" s="38"/>
      <c r="U12" s="43"/>
    </row>
    <row r="13" spans="1:21" ht="15">
      <c r="A13" s="2" t="s">
        <v>15</v>
      </c>
      <c r="B13" s="35"/>
      <c r="C13" s="43"/>
      <c r="D13" s="38"/>
      <c r="E13" s="41"/>
      <c r="F13" s="38">
        <v>0</v>
      </c>
      <c r="G13" s="41">
        <v>0</v>
      </c>
      <c r="H13" s="114"/>
      <c r="I13" s="43"/>
      <c r="J13" s="114">
        <v>0</v>
      </c>
      <c r="K13" s="43">
        <v>0</v>
      </c>
      <c r="L13" s="38">
        <v>514.11</v>
      </c>
      <c r="M13" s="43">
        <v>467.8</v>
      </c>
      <c r="N13" s="38">
        <v>258.23</v>
      </c>
      <c r="O13" s="43">
        <v>233.9</v>
      </c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/>
      <c r="C14" s="43"/>
      <c r="D14" s="38">
        <v>316.3</v>
      </c>
      <c r="E14" s="41">
        <v>431</v>
      </c>
      <c r="F14" s="38">
        <v>195.52</v>
      </c>
      <c r="G14" s="41">
        <v>196.7</v>
      </c>
      <c r="H14" s="114"/>
      <c r="I14" s="43"/>
      <c r="J14" s="114">
        <v>578.42</v>
      </c>
      <c r="K14" s="43">
        <v>616</v>
      </c>
      <c r="L14" s="38"/>
      <c r="M14" s="43"/>
      <c r="N14" s="38">
        <v>245.85</v>
      </c>
      <c r="O14" s="43">
        <v>223.7</v>
      </c>
      <c r="P14" s="38"/>
      <c r="Q14" s="43"/>
      <c r="R14" s="38">
        <v>1631.47</v>
      </c>
      <c r="S14" s="43">
        <v>663.2</v>
      </c>
      <c r="T14" s="38"/>
      <c r="U14" s="43"/>
    </row>
    <row r="15" spans="1:21" ht="15">
      <c r="A15" s="2" t="s">
        <v>17</v>
      </c>
      <c r="B15" s="35"/>
      <c r="C15" s="43"/>
      <c r="D15" s="38"/>
      <c r="E15" s="41"/>
      <c r="F15" s="38">
        <v>0</v>
      </c>
      <c r="G15" s="41">
        <v>0</v>
      </c>
      <c r="H15" s="114"/>
      <c r="I15" s="43"/>
      <c r="J15" s="114">
        <v>0</v>
      </c>
      <c r="K15" s="43">
        <v>0</v>
      </c>
      <c r="L15" s="38"/>
      <c r="M15" s="43"/>
      <c r="N15" s="38"/>
      <c r="O15" s="43"/>
      <c r="P15" s="38">
        <v>1263.65</v>
      </c>
      <c r="Q15" s="43">
        <v>602.6</v>
      </c>
      <c r="R15" s="38"/>
      <c r="S15" s="43"/>
      <c r="T15" s="38"/>
      <c r="U15" s="43"/>
    </row>
    <row r="16" spans="1:21" ht="15">
      <c r="A16" s="2" t="s">
        <v>18</v>
      </c>
      <c r="B16" s="35">
        <v>150.81</v>
      </c>
      <c r="C16" s="43">
        <v>311.4</v>
      </c>
      <c r="D16" s="38">
        <v>587.36</v>
      </c>
      <c r="E16" s="41">
        <v>764.4</v>
      </c>
      <c r="F16" s="38">
        <v>0</v>
      </c>
      <c r="G16" s="41">
        <v>0</v>
      </c>
      <c r="H16" s="114">
        <v>816.03</v>
      </c>
      <c r="I16" s="43">
        <v>785.4</v>
      </c>
      <c r="J16" s="114">
        <v>776.46</v>
      </c>
      <c r="K16" s="43">
        <v>826.9</v>
      </c>
      <c r="L16" s="38"/>
      <c r="M16" s="43"/>
      <c r="N16" s="38">
        <f>913.82+783.04</f>
        <v>1696.8600000000001</v>
      </c>
      <c r="O16" s="43">
        <f>547.2+461.7</f>
        <v>1008.9000000000001</v>
      </c>
      <c r="P16" s="38">
        <v>2657.32</v>
      </c>
      <c r="Q16" s="43">
        <v>1267.2</v>
      </c>
      <c r="R16" s="38">
        <f>1861.97+1173.42</f>
        <v>3035.3900000000003</v>
      </c>
      <c r="S16" s="43">
        <f>756.9+477</f>
        <v>1233.9</v>
      </c>
      <c r="T16" s="38"/>
      <c r="U16" s="43"/>
    </row>
    <row r="17" spans="1:21" ht="15">
      <c r="A17" s="2" t="s">
        <v>19</v>
      </c>
      <c r="B17" s="35">
        <v>853.85</v>
      </c>
      <c r="C17" s="43">
        <v>1580.6</v>
      </c>
      <c r="D17" s="38">
        <v>924.33</v>
      </c>
      <c r="E17" s="41">
        <v>1130.3</v>
      </c>
      <c r="F17" s="38">
        <v>2628.13</v>
      </c>
      <c r="G17" s="41">
        <v>2643.9</v>
      </c>
      <c r="H17" s="114">
        <v>1416.99</v>
      </c>
      <c r="I17" s="43">
        <v>1363.8</v>
      </c>
      <c r="J17" s="114">
        <v>1035.88</v>
      </c>
      <c r="K17" s="43">
        <v>1103.5</v>
      </c>
      <c r="L17" s="38">
        <v>1297.37</v>
      </c>
      <c r="M17" s="43">
        <v>1180.5</v>
      </c>
      <c r="N17" s="38">
        <f>904.06+800.09-473.3</f>
        <v>1230.8500000000001</v>
      </c>
      <c r="O17" s="43">
        <f>559.1+494.8+292.7</f>
        <v>1346.6000000000001</v>
      </c>
      <c r="P17" s="38">
        <v>2419.31</v>
      </c>
      <c r="Q17" s="43">
        <v>1153.7</v>
      </c>
      <c r="R17" s="38">
        <f>560.63+1449.43</f>
        <v>2010.06</v>
      </c>
      <c r="S17" s="43">
        <f>227.9+589.2</f>
        <v>817.1</v>
      </c>
      <c r="T17" s="38"/>
      <c r="U17" s="43"/>
    </row>
    <row r="18" spans="1:21" ht="15.75" thickBot="1">
      <c r="A18" s="2" t="s">
        <v>20</v>
      </c>
      <c r="B18" s="35">
        <v>416.3</v>
      </c>
      <c r="C18" s="43">
        <v>855</v>
      </c>
      <c r="D18" s="38">
        <v>119.19</v>
      </c>
      <c r="E18" s="41">
        <v>142</v>
      </c>
      <c r="F18" s="38">
        <v>2059.64</v>
      </c>
      <c r="G18" s="41">
        <v>2126.4</v>
      </c>
      <c r="H18" s="114">
        <v>858.53</v>
      </c>
      <c r="I18" s="43">
        <v>826.3</v>
      </c>
      <c r="J18" s="114">
        <v>1864.57</v>
      </c>
      <c r="K18" s="43">
        <v>1985.7</v>
      </c>
      <c r="L18" s="38">
        <v>1932.48</v>
      </c>
      <c r="M18" s="43">
        <v>1785.4</v>
      </c>
      <c r="N18" s="38">
        <f>948.86+849.41+771.79</f>
        <v>2570.06</v>
      </c>
      <c r="O18" s="43">
        <f>586.8+523.3+477.3</f>
        <v>1587.3999999999999</v>
      </c>
      <c r="P18" s="38">
        <v>3894.76</v>
      </c>
      <c r="Q18" s="43">
        <v>1857.3</v>
      </c>
      <c r="R18" s="38">
        <f>1352.26+1340.21+1101.59</f>
        <v>3794.0600000000004</v>
      </c>
      <c r="S18" s="43">
        <f>549.7+544.8+447.8</f>
        <v>1542.3</v>
      </c>
      <c r="T18" s="38"/>
      <c r="U18" s="43"/>
    </row>
    <row r="19" spans="1:21" s="1" customFormat="1" ht="15.75" thickBot="1">
      <c r="A19" s="2" t="s">
        <v>21</v>
      </c>
      <c r="B19" s="37">
        <f aca="true" t="shared" si="0" ref="B19:G19">SUM(B7:B18)</f>
        <v>1420.96</v>
      </c>
      <c r="C19" s="52">
        <f t="shared" si="0"/>
        <v>2747</v>
      </c>
      <c r="D19" s="93">
        <f t="shared" si="0"/>
        <v>6010.879999999999</v>
      </c>
      <c r="E19" s="94">
        <f t="shared" si="0"/>
        <v>10010.3</v>
      </c>
      <c r="F19" s="93">
        <f t="shared" si="0"/>
        <v>13877.650000000001</v>
      </c>
      <c r="G19" s="94">
        <f t="shared" si="0"/>
        <v>14063.9</v>
      </c>
      <c r="H19" s="115">
        <f aca="true" t="shared" si="1" ref="H19:M19">SUM(H7:H18)</f>
        <v>10991.140000000001</v>
      </c>
      <c r="I19" s="96">
        <f t="shared" si="1"/>
        <v>10031.299999999997</v>
      </c>
      <c r="J19" s="115">
        <f t="shared" si="1"/>
        <v>11841.630000000001</v>
      </c>
      <c r="K19" s="96">
        <f t="shared" si="1"/>
        <v>11896.800000000001</v>
      </c>
      <c r="L19" s="133">
        <f t="shared" si="1"/>
        <v>11133.789999999999</v>
      </c>
      <c r="M19" s="89">
        <f t="shared" si="1"/>
        <v>11330.599999999999</v>
      </c>
      <c r="N19" s="133">
        <f aca="true" t="shared" si="2" ref="N19:S19">SUM(N7:N18)</f>
        <v>14138.19</v>
      </c>
      <c r="O19" s="89">
        <f t="shared" si="2"/>
        <v>11803.9</v>
      </c>
      <c r="P19" s="133">
        <f t="shared" si="2"/>
        <v>21197.64</v>
      </c>
      <c r="Q19" s="89">
        <f t="shared" si="2"/>
        <v>11660.4</v>
      </c>
      <c r="R19" s="133">
        <f t="shared" si="2"/>
        <v>23498.590000000004</v>
      </c>
      <c r="S19" s="89">
        <f t="shared" si="2"/>
        <v>10469</v>
      </c>
      <c r="T19" s="133">
        <f>SUM(T7:T18)</f>
        <v>13621.509999999998</v>
      </c>
      <c r="U19" s="89">
        <f>SUM(U7:U18)</f>
        <v>5537.2</v>
      </c>
    </row>
    <row r="20" ht="15">
      <c r="J20" s="113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U19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H33" sqref="H33"/>
    </sheetView>
  </sheetViews>
  <sheetFormatPr defaultColWidth="11.5546875" defaultRowHeight="15"/>
  <cols>
    <col min="1" max="1" width="14.6640625" style="3" bestFit="1" customWidth="1"/>
    <col min="2" max="2" width="8.88671875" style="8" customWidth="1"/>
    <col min="3" max="3" width="8.6640625" style="0" customWidth="1"/>
    <col min="4" max="4" width="8.88671875" style="8" customWidth="1"/>
    <col min="5" max="7" width="8.6640625" style="0" customWidth="1"/>
    <col min="8" max="8" width="10.3359375" style="111" bestFit="1" customWidth="1"/>
    <col min="9" max="13" width="8.6640625" style="0" customWidth="1"/>
    <col min="14" max="14" width="9.6640625" style="0" bestFit="1" customWidth="1"/>
    <col min="15" max="15" width="8.6640625" style="0" customWidth="1"/>
    <col min="16" max="16" width="10.88671875" style="0" customWidth="1"/>
    <col min="17" max="17" width="8.6640625" style="0" customWidth="1"/>
    <col min="18" max="18" width="9.6640625" style="0" customWidth="1"/>
    <col min="19" max="19" width="8.6640625" style="0" customWidth="1"/>
    <col min="20" max="20" width="9.6640625" style="0" bestFit="1" customWidth="1"/>
    <col min="21" max="16384" width="8.6640625" style="0" customWidth="1"/>
  </cols>
  <sheetData>
    <row r="2" ht="15.75" thickBot="1">
      <c r="A2" s="153" t="s">
        <v>38</v>
      </c>
    </row>
    <row r="3" spans="1:21" s="11" customFormat="1" ht="16.5">
      <c r="A3" s="156"/>
      <c r="B3" s="45">
        <v>1998</v>
      </c>
      <c r="C3" s="53"/>
      <c r="D3" s="26">
        <v>1999</v>
      </c>
      <c r="E3" s="28"/>
      <c r="F3" s="26">
        <v>2000</v>
      </c>
      <c r="G3" s="28"/>
      <c r="H3" s="118">
        <v>2001</v>
      </c>
      <c r="I3" s="53"/>
      <c r="J3" s="118" t="s">
        <v>33</v>
      </c>
      <c r="K3" s="53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2:21" s="5" customFormat="1" ht="15">
      <c r="B4" s="32" t="s">
        <v>5</v>
      </c>
      <c r="C4" s="34"/>
      <c r="D4" s="29" t="s">
        <v>5</v>
      </c>
      <c r="E4" s="31"/>
      <c r="F4" s="29" t="s">
        <v>5</v>
      </c>
      <c r="G4" s="31"/>
      <c r="H4" s="112" t="s">
        <v>5</v>
      </c>
      <c r="I4" s="34"/>
      <c r="J4" s="112" t="s">
        <v>5</v>
      </c>
      <c r="K4" s="34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5" customFormat="1" ht="15">
      <c r="A5" s="4" t="s">
        <v>22</v>
      </c>
      <c r="B5" s="32" t="s">
        <v>8</v>
      </c>
      <c r="C5" s="34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112" t="s">
        <v>8</v>
      </c>
      <c r="I5" s="34" t="s">
        <v>7</v>
      </c>
      <c r="J5" s="112" t="s">
        <v>8</v>
      </c>
      <c r="K5" s="34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32"/>
      <c r="C6" s="34"/>
      <c r="D6" s="32"/>
      <c r="E6" s="34"/>
      <c r="F6" s="32"/>
      <c r="G6" s="34"/>
      <c r="H6" s="112"/>
      <c r="I6" s="34"/>
      <c r="J6" s="112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/>
      <c r="C7" s="43"/>
      <c r="D7" s="38">
        <v>24.29</v>
      </c>
      <c r="E7" s="41">
        <v>47.9</v>
      </c>
      <c r="F7" s="38">
        <v>118.74</v>
      </c>
      <c r="G7" s="41">
        <v>136</v>
      </c>
      <c r="H7" s="113">
        <v>175.64</v>
      </c>
      <c r="I7" s="83">
        <v>176.7</v>
      </c>
      <c r="J7" s="113">
        <v>112.52</v>
      </c>
      <c r="K7" s="83">
        <v>108.3</v>
      </c>
      <c r="L7" s="38">
        <v>125.35</v>
      </c>
      <c r="M7" s="43">
        <v>133.5</v>
      </c>
      <c r="N7" s="38">
        <v>173.09</v>
      </c>
      <c r="O7" s="43">
        <v>157.5</v>
      </c>
      <c r="P7" s="38"/>
      <c r="Q7" s="43"/>
      <c r="R7" s="38">
        <v>197.75</v>
      </c>
      <c r="S7" s="43">
        <v>94.3</v>
      </c>
      <c r="T7" s="38">
        <f>116.36+135.05</f>
        <v>251.41000000000003</v>
      </c>
      <c r="U7" s="43">
        <f>47.3+54.9</f>
        <v>102.19999999999999</v>
      </c>
    </row>
    <row r="8" spans="1:21" ht="15">
      <c r="A8" s="2" t="s">
        <v>10</v>
      </c>
      <c r="B8" s="35"/>
      <c r="C8" s="43"/>
      <c r="D8" s="38">
        <v>52.81</v>
      </c>
      <c r="E8" s="41">
        <v>104.2</v>
      </c>
      <c r="F8" s="38">
        <v>0</v>
      </c>
      <c r="G8" s="41">
        <v>0</v>
      </c>
      <c r="H8" s="114"/>
      <c r="I8" s="43"/>
      <c r="J8" s="114">
        <v>0</v>
      </c>
      <c r="K8" s="43">
        <v>0</v>
      </c>
      <c r="L8" s="38">
        <v>106.95</v>
      </c>
      <c r="M8" s="43">
        <v>113.9</v>
      </c>
      <c r="N8" s="38">
        <v>173.97</v>
      </c>
      <c r="O8" s="43">
        <v>158.3</v>
      </c>
      <c r="P8" s="38">
        <v>171.73</v>
      </c>
      <c r="Q8" s="43">
        <v>106.2</v>
      </c>
      <c r="R8" s="38">
        <v>391.51</v>
      </c>
      <c r="S8" s="43">
        <v>186.7</v>
      </c>
      <c r="T8" s="38">
        <v>355.96</v>
      </c>
      <c r="U8" s="43">
        <v>144.7</v>
      </c>
    </row>
    <row r="9" spans="1:21" ht="15">
      <c r="A9" s="2" t="s">
        <v>11</v>
      </c>
      <c r="B9" s="35"/>
      <c r="C9" s="43"/>
      <c r="D9" s="38">
        <v>89.58</v>
      </c>
      <c r="E9" s="41">
        <v>157.4</v>
      </c>
      <c r="F9" s="38">
        <v>155.18</v>
      </c>
      <c r="G9" s="41">
        <v>147.8</v>
      </c>
      <c r="H9" s="114">
        <v>227.03</v>
      </c>
      <c r="I9" s="43">
        <v>228.4</v>
      </c>
      <c r="J9" s="114">
        <v>155.12</v>
      </c>
      <c r="K9" s="43">
        <v>149.3</v>
      </c>
      <c r="L9" s="38">
        <v>182.55</v>
      </c>
      <c r="M9" s="43">
        <v>194.4</v>
      </c>
      <c r="N9" s="38">
        <v>85.06</v>
      </c>
      <c r="O9" s="43">
        <v>77.4</v>
      </c>
      <c r="P9" s="38">
        <f>141.81+88.45</f>
        <v>230.26</v>
      </c>
      <c r="Q9" s="43">
        <f>87.7+54.7</f>
        <v>142.4</v>
      </c>
      <c r="R9" s="38">
        <v>482.94</v>
      </c>
      <c r="S9" s="43">
        <v>230.3</v>
      </c>
      <c r="T9" s="38">
        <v>189.67</v>
      </c>
      <c r="U9" s="43">
        <v>77.1</v>
      </c>
    </row>
    <row r="10" spans="1:21" ht="15">
      <c r="A10" s="2" t="s">
        <v>23</v>
      </c>
      <c r="B10" s="35"/>
      <c r="C10" s="43"/>
      <c r="D10" s="38"/>
      <c r="E10" s="41"/>
      <c r="F10" s="38">
        <v>0</v>
      </c>
      <c r="G10" s="41">
        <v>0</v>
      </c>
      <c r="H10" s="114">
        <v>78.05</v>
      </c>
      <c r="I10" s="43">
        <v>65.1</v>
      </c>
      <c r="J10" s="114">
        <v>81.35</v>
      </c>
      <c r="K10" s="43">
        <v>78.3</v>
      </c>
      <c r="L10" s="38">
        <v>81.79</v>
      </c>
      <c r="M10" s="43">
        <v>87.1</v>
      </c>
      <c r="N10" s="38">
        <v>118.25</v>
      </c>
      <c r="O10" s="43">
        <v>107.6</v>
      </c>
      <c r="P10" s="38"/>
      <c r="Q10" s="43"/>
      <c r="R10" s="38">
        <v>138.4</v>
      </c>
      <c r="S10" s="43">
        <v>66</v>
      </c>
      <c r="T10" s="38"/>
      <c r="U10" s="43"/>
    </row>
    <row r="11" spans="1:21" ht="15">
      <c r="A11" s="2" t="s">
        <v>13</v>
      </c>
      <c r="B11" s="35"/>
      <c r="C11" s="43"/>
      <c r="D11" s="38"/>
      <c r="E11" s="41"/>
      <c r="F11" s="38">
        <v>0</v>
      </c>
      <c r="G11" s="41">
        <v>0</v>
      </c>
      <c r="H11" s="114"/>
      <c r="I11" s="43"/>
      <c r="J11" s="114">
        <v>77.3</v>
      </c>
      <c r="K11" s="43">
        <v>74.4</v>
      </c>
      <c r="L11" s="38">
        <v>42.72</v>
      </c>
      <c r="M11" s="43"/>
      <c r="N11" s="38">
        <v>48.8</v>
      </c>
      <c r="O11" s="43">
        <v>44.4</v>
      </c>
      <c r="P11" s="38">
        <v>137.45</v>
      </c>
      <c r="Q11" s="43">
        <v>85</v>
      </c>
      <c r="R11" s="38"/>
      <c r="S11" s="43"/>
      <c r="T11" s="38"/>
      <c r="U11" s="43"/>
    </row>
    <row r="12" spans="1:21" ht="15">
      <c r="A12" s="2" t="s">
        <v>14</v>
      </c>
      <c r="B12" s="35"/>
      <c r="C12" s="43"/>
      <c r="D12" s="38">
        <v>68.28</v>
      </c>
      <c r="E12" s="41">
        <v>115.8</v>
      </c>
      <c r="F12" s="38">
        <v>125.5</v>
      </c>
      <c r="G12" s="41">
        <v>133.2</v>
      </c>
      <c r="H12" s="114">
        <v>47.07</v>
      </c>
      <c r="I12" s="43">
        <v>45.3</v>
      </c>
      <c r="J12" s="114">
        <v>20.16</v>
      </c>
      <c r="K12" s="43">
        <v>19.4</v>
      </c>
      <c r="L12" s="38">
        <v>36.6</v>
      </c>
      <c r="M12" s="43">
        <v>33.3</v>
      </c>
      <c r="N12" s="38">
        <v>8.35</v>
      </c>
      <c r="O12" s="43">
        <v>7.6</v>
      </c>
      <c r="P12" s="38">
        <v>16.17</v>
      </c>
      <c r="Q12" s="43">
        <v>10</v>
      </c>
      <c r="R12" s="38"/>
      <c r="S12" s="43"/>
      <c r="T12" s="38"/>
      <c r="U12" s="43"/>
    </row>
    <row r="13" spans="1:21" ht="15">
      <c r="A13" s="2" t="s">
        <v>15</v>
      </c>
      <c r="B13" s="35"/>
      <c r="C13" s="43"/>
      <c r="D13" s="38"/>
      <c r="E13" s="41"/>
      <c r="F13" s="38">
        <v>0</v>
      </c>
      <c r="G13" s="41">
        <v>0</v>
      </c>
      <c r="H13" s="114"/>
      <c r="I13" s="43"/>
      <c r="J13" s="114">
        <v>0</v>
      </c>
      <c r="K13" s="43">
        <v>0</v>
      </c>
      <c r="L13" s="38"/>
      <c r="M13" s="43"/>
      <c r="N13" s="38"/>
      <c r="O13" s="43"/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/>
      <c r="C14" s="43"/>
      <c r="D14" s="38">
        <v>4.11</v>
      </c>
      <c r="E14" s="41">
        <v>5.6</v>
      </c>
      <c r="F14" s="38">
        <v>4.67</v>
      </c>
      <c r="G14" s="41">
        <v>4.7</v>
      </c>
      <c r="H14" s="114">
        <v>11.12</v>
      </c>
      <c r="I14" s="43">
        <v>10.7</v>
      </c>
      <c r="J14" s="114">
        <v>7.9</v>
      </c>
      <c r="K14" s="43">
        <v>20.16</v>
      </c>
      <c r="L14" s="38"/>
      <c r="M14" s="43"/>
      <c r="N14" s="38"/>
      <c r="O14" s="43"/>
      <c r="P14" s="38"/>
      <c r="Q14" s="43"/>
      <c r="R14" s="38">
        <v>177.61</v>
      </c>
      <c r="S14" s="43">
        <v>72.2</v>
      </c>
      <c r="T14" s="38"/>
      <c r="U14" s="43"/>
    </row>
    <row r="15" spans="1:21" ht="15">
      <c r="A15" s="2" t="s">
        <v>17</v>
      </c>
      <c r="B15" s="35"/>
      <c r="C15" s="43"/>
      <c r="D15" s="38"/>
      <c r="E15" s="41"/>
      <c r="F15" s="38">
        <v>0</v>
      </c>
      <c r="G15" s="41">
        <v>0</v>
      </c>
      <c r="H15" s="114"/>
      <c r="I15" s="43"/>
      <c r="J15" s="114">
        <v>0</v>
      </c>
      <c r="K15" s="43">
        <v>0</v>
      </c>
      <c r="L15" s="38"/>
      <c r="M15" s="43"/>
      <c r="N15" s="38"/>
      <c r="O15" s="43"/>
      <c r="P15" s="38"/>
      <c r="Q15" s="43"/>
      <c r="R15" s="38"/>
      <c r="S15" s="43"/>
      <c r="T15" s="38"/>
      <c r="U15" s="43"/>
    </row>
    <row r="16" spans="1:21" ht="15">
      <c r="A16" s="2" t="s">
        <v>18</v>
      </c>
      <c r="B16" s="35"/>
      <c r="C16" s="43"/>
      <c r="D16" s="38">
        <v>32.81</v>
      </c>
      <c r="E16" s="41">
        <v>42.7</v>
      </c>
      <c r="F16" s="38">
        <v>0</v>
      </c>
      <c r="G16" s="41">
        <v>0</v>
      </c>
      <c r="H16" s="114"/>
      <c r="I16" s="43"/>
      <c r="J16" s="114">
        <v>28.73</v>
      </c>
      <c r="K16" s="43">
        <v>30.6</v>
      </c>
      <c r="L16" s="38">
        <v>46.16</v>
      </c>
      <c r="M16" s="43">
        <v>42</v>
      </c>
      <c r="N16" s="38">
        <v>91.35</v>
      </c>
      <c r="O16" s="43">
        <v>54.7</v>
      </c>
      <c r="P16" s="38"/>
      <c r="Q16" s="43"/>
      <c r="R16" s="38">
        <v>109.96</v>
      </c>
      <c r="S16" s="43">
        <v>44.7</v>
      </c>
      <c r="T16" s="38"/>
      <c r="U16" s="43"/>
    </row>
    <row r="17" spans="1:21" ht="15">
      <c r="A17" s="2" t="s">
        <v>19</v>
      </c>
      <c r="B17" s="35">
        <v>77.97</v>
      </c>
      <c r="C17" s="43">
        <v>142.8</v>
      </c>
      <c r="D17" s="38"/>
      <c r="E17" s="41"/>
      <c r="F17" s="38">
        <v>140.75</v>
      </c>
      <c r="G17" s="41">
        <v>141.6</v>
      </c>
      <c r="H17" s="114">
        <v>137.98</v>
      </c>
      <c r="I17" s="43">
        <v>132.8</v>
      </c>
      <c r="J17" s="114">
        <v>70.24</v>
      </c>
      <c r="K17" s="43">
        <v>74.8</v>
      </c>
      <c r="L17" s="38">
        <v>97.37</v>
      </c>
      <c r="M17" s="43">
        <v>88.6</v>
      </c>
      <c r="N17" s="38">
        <v>98.8</v>
      </c>
      <c r="O17" s="43">
        <v>61.1</v>
      </c>
      <c r="P17" s="38">
        <v>357.33</v>
      </c>
      <c r="Q17" s="43">
        <v>170.4</v>
      </c>
      <c r="R17" s="38">
        <v>96.68</v>
      </c>
      <c r="S17" s="43">
        <v>39.3</v>
      </c>
      <c r="T17" s="38"/>
      <c r="U17" s="43"/>
    </row>
    <row r="18" spans="1:21" ht="15.75" thickBot="1">
      <c r="A18" s="2" t="s">
        <v>20</v>
      </c>
      <c r="B18" s="99">
        <v>30.87</v>
      </c>
      <c r="C18" s="86">
        <v>63.4</v>
      </c>
      <c r="D18" s="38">
        <v>135.65</v>
      </c>
      <c r="E18" s="41">
        <v>161.6</v>
      </c>
      <c r="F18" s="38">
        <v>103.87</v>
      </c>
      <c r="G18" s="41">
        <v>104.5</v>
      </c>
      <c r="H18" s="114"/>
      <c r="I18" s="43"/>
      <c r="J18" s="114">
        <v>104.7</v>
      </c>
      <c r="K18" s="43">
        <v>111.5</v>
      </c>
      <c r="L18" s="38">
        <v>52.97</v>
      </c>
      <c r="M18" s="43">
        <v>48.2</v>
      </c>
      <c r="N18" s="38">
        <f>139.22+125.16</f>
        <v>264.38</v>
      </c>
      <c r="O18" s="43">
        <f>86.1+77.4</f>
        <v>163.5</v>
      </c>
      <c r="P18" s="38">
        <v>327.34</v>
      </c>
      <c r="Q18" s="43">
        <v>156.1</v>
      </c>
      <c r="R18" s="38">
        <v>132.84</v>
      </c>
      <c r="S18" s="43">
        <v>54</v>
      </c>
      <c r="T18" s="38"/>
      <c r="U18" s="43"/>
    </row>
    <row r="19" spans="1:21" s="1" customFormat="1" ht="15.75" thickBot="1">
      <c r="A19" s="2" t="s">
        <v>21</v>
      </c>
      <c r="B19" s="37">
        <f>SUM(B7:B18)</f>
        <v>108.84</v>
      </c>
      <c r="C19" s="52">
        <f>SUM(C6:C18)</f>
        <v>206.20000000000002</v>
      </c>
      <c r="D19" s="93">
        <f aca="true" t="shared" si="0" ref="D19:I19">SUM(D7:D18)</f>
        <v>407.53</v>
      </c>
      <c r="E19" s="94">
        <f t="shared" si="0"/>
        <v>635.2</v>
      </c>
      <c r="F19" s="93">
        <f t="shared" si="0"/>
        <v>648.71</v>
      </c>
      <c r="G19" s="94">
        <f t="shared" si="0"/>
        <v>667.8</v>
      </c>
      <c r="H19" s="117">
        <f t="shared" si="0"/>
        <v>676.89</v>
      </c>
      <c r="I19" s="52">
        <f t="shared" si="0"/>
        <v>659</v>
      </c>
      <c r="J19" s="117">
        <f aca="true" t="shared" si="1" ref="J19:O19">SUM(J7:J18)</f>
        <v>658.0200000000001</v>
      </c>
      <c r="K19" s="52">
        <f t="shared" si="1"/>
        <v>666.7600000000001</v>
      </c>
      <c r="L19" s="133">
        <f t="shared" si="1"/>
        <v>772.46</v>
      </c>
      <c r="M19" s="89">
        <f t="shared" si="1"/>
        <v>741</v>
      </c>
      <c r="N19" s="133">
        <f t="shared" si="1"/>
        <v>1062.05</v>
      </c>
      <c r="O19" s="89">
        <f t="shared" si="1"/>
        <v>832.1000000000001</v>
      </c>
      <c r="P19" s="133">
        <f aca="true" t="shared" si="2" ref="P19:U19">SUM(P7:P18)</f>
        <v>1240.28</v>
      </c>
      <c r="Q19" s="89">
        <f t="shared" si="2"/>
        <v>670.1</v>
      </c>
      <c r="R19" s="133">
        <f t="shared" si="2"/>
        <v>1727.69</v>
      </c>
      <c r="S19" s="89">
        <f t="shared" si="2"/>
        <v>787.5</v>
      </c>
      <c r="T19" s="133">
        <f t="shared" si="2"/>
        <v>797.04</v>
      </c>
      <c r="U19" s="89">
        <f t="shared" si="2"/>
        <v>324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2:U19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V8" sqref="V8"/>
    </sheetView>
  </sheetViews>
  <sheetFormatPr defaultColWidth="11.5546875" defaultRowHeight="15"/>
  <cols>
    <col min="1" max="1" width="14.3359375" style="3" bestFit="1" customWidth="1"/>
    <col min="2" max="2" width="9.6640625" style="8" customWidth="1"/>
    <col min="3" max="3" width="10.3359375" style="0" customWidth="1"/>
    <col min="4" max="4" width="8.88671875" style="8" customWidth="1"/>
    <col min="5" max="7" width="8.6640625" style="0" customWidth="1"/>
    <col min="8" max="8" width="10.3359375" style="111" bestFit="1" customWidth="1"/>
    <col min="9" max="16384" width="8.6640625" style="0" customWidth="1"/>
  </cols>
  <sheetData>
    <row r="2" ht="15.75" thickBot="1">
      <c r="A2" s="153" t="s">
        <v>28</v>
      </c>
    </row>
    <row r="3" spans="1:21" s="23" customFormat="1" ht="16.5">
      <c r="A3" s="167"/>
      <c r="B3" s="26">
        <v>1998</v>
      </c>
      <c r="C3" s="28"/>
      <c r="D3" s="26">
        <v>1999</v>
      </c>
      <c r="E3" s="28"/>
      <c r="F3" s="26">
        <v>2000</v>
      </c>
      <c r="G3" s="28"/>
      <c r="H3" s="122">
        <v>2001</v>
      </c>
      <c r="I3" s="28"/>
      <c r="J3" s="122" t="s">
        <v>33</v>
      </c>
      <c r="K3" s="28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25" customFormat="1" ht="15">
      <c r="A4" s="24"/>
      <c r="B4" s="29" t="s">
        <v>5</v>
      </c>
      <c r="C4" s="31"/>
      <c r="D4" s="29" t="s">
        <v>5</v>
      </c>
      <c r="E4" s="31"/>
      <c r="F4" s="29" t="s">
        <v>5</v>
      </c>
      <c r="G4" s="31"/>
      <c r="H4" s="121" t="s">
        <v>5</v>
      </c>
      <c r="I4" s="31"/>
      <c r="J4" s="121" t="s">
        <v>5</v>
      </c>
      <c r="K4" s="31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25" customFormat="1" ht="15">
      <c r="A5" s="24" t="s">
        <v>22</v>
      </c>
      <c r="B5" s="29" t="s">
        <v>8</v>
      </c>
      <c r="C5" s="31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121" t="s">
        <v>8</v>
      </c>
      <c r="I5" s="31" t="s">
        <v>7</v>
      </c>
      <c r="J5" s="121" t="s">
        <v>8</v>
      </c>
      <c r="K5" s="31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32"/>
      <c r="C6" s="34"/>
      <c r="D6" s="32"/>
      <c r="E6" s="34"/>
      <c r="F6" s="32"/>
      <c r="G6" s="34"/>
      <c r="H6" s="112"/>
      <c r="I6" s="34"/>
      <c r="J6" s="112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/>
      <c r="C7" s="43"/>
      <c r="D7" s="38">
        <v>41.39</v>
      </c>
      <c r="E7" s="41">
        <v>65.9</v>
      </c>
      <c r="F7" s="38">
        <v>96.42</v>
      </c>
      <c r="G7" s="41">
        <v>88</v>
      </c>
      <c r="H7" s="113">
        <v>51.82</v>
      </c>
      <c r="I7" s="83">
        <v>45.3</v>
      </c>
      <c r="J7" s="113">
        <v>102.92</v>
      </c>
      <c r="K7" s="83">
        <v>82.4</v>
      </c>
      <c r="L7" s="38">
        <v>42.14</v>
      </c>
      <c r="M7" s="43">
        <v>37</v>
      </c>
      <c r="N7" s="38">
        <v>147.31</v>
      </c>
      <c r="O7" s="43">
        <v>113.4</v>
      </c>
      <c r="P7" s="38"/>
      <c r="Q7" s="43"/>
      <c r="R7" s="38">
        <v>188.58</v>
      </c>
      <c r="S7" s="43">
        <v>82.1</v>
      </c>
      <c r="T7" s="38"/>
      <c r="U7" s="43"/>
    </row>
    <row r="8" spans="1:21" ht="15">
      <c r="A8" s="2" t="s">
        <v>10</v>
      </c>
      <c r="B8" s="35"/>
      <c r="C8" s="43"/>
      <c r="D8" s="38"/>
      <c r="E8" s="41"/>
      <c r="F8" s="38">
        <v>96.06</v>
      </c>
      <c r="G8" s="41">
        <v>76.5</v>
      </c>
      <c r="H8" s="114"/>
      <c r="I8" s="43"/>
      <c r="J8" s="114">
        <v>0</v>
      </c>
      <c r="K8" s="43">
        <v>0</v>
      </c>
      <c r="L8" s="38">
        <v>71.76</v>
      </c>
      <c r="M8" s="43">
        <v>63</v>
      </c>
      <c r="N8" s="38"/>
      <c r="O8" s="43"/>
      <c r="P8" s="38">
        <v>82.86</v>
      </c>
      <c r="Q8" s="43">
        <v>45.6</v>
      </c>
      <c r="R8" s="38"/>
      <c r="S8" s="43"/>
      <c r="T8" s="38">
        <v>333.68</v>
      </c>
      <c r="U8" s="43">
        <v>120.9</v>
      </c>
    </row>
    <row r="9" spans="1:21" ht="15">
      <c r="A9" s="2" t="s">
        <v>11</v>
      </c>
      <c r="B9" s="35"/>
      <c r="C9" s="43"/>
      <c r="D9" s="38"/>
      <c r="E9" s="41"/>
      <c r="F9" s="38">
        <v>0</v>
      </c>
      <c r="G9" s="41">
        <v>0</v>
      </c>
      <c r="H9" s="114"/>
      <c r="I9" s="43"/>
      <c r="J9" s="114"/>
      <c r="K9" s="43">
        <v>0</v>
      </c>
      <c r="L9" s="38">
        <v>67.88</v>
      </c>
      <c r="M9" s="43">
        <v>59.6</v>
      </c>
      <c r="N9" s="38">
        <v>115.22</v>
      </c>
      <c r="O9" s="43">
        <v>88.7</v>
      </c>
      <c r="P9" s="38">
        <v>74.5</v>
      </c>
      <c r="Q9" s="43">
        <v>41</v>
      </c>
      <c r="R9" s="38">
        <v>148.16</v>
      </c>
      <c r="S9" s="43">
        <v>64.5</v>
      </c>
      <c r="T9" s="38"/>
      <c r="U9" s="43"/>
    </row>
    <row r="10" spans="1:21" ht="15">
      <c r="A10" s="2" t="s">
        <v>23</v>
      </c>
      <c r="B10" s="35"/>
      <c r="C10" s="43"/>
      <c r="D10" s="38">
        <v>85.04</v>
      </c>
      <c r="E10" s="41">
        <v>129.3</v>
      </c>
      <c r="F10" s="38">
        <v>102.39</v>
      </c>
      <c r="G10" s="41">
        <v>66.1</v>
      </c>
      <c r="H10" s="114">
        <v>156.73</v>
      </c>
      <c r="I10" s="43">
        <v>137</v>
      </c>
      <c r="J10" s="114">
        <v>56.08</v>
      </c>
      <c r="K10" s="43">
        <v>44.9</v>
      </c>
      <c r="L10" s="38"/>
      <c r="M10" s="43"/>
      <c r="N10" s="38"/>
      <c r="O10" s="43"/>
      <c r="P10" s="38">
        <v>71.23</v>
      </c>
      <c r="Q10" s="43">
        <v>39.2</v>
      </c>
      <c r="R10" s="38"/>
      <c r="S10" s="43"/>
      <c r="T10" s="38"/>
      <c r="U10" s="43"/>
    </row>
    <row r="11" spans="1:21" ht="15">
      <c r="A11" s="2" t="s">
        <v>13</v>
      </c>
      <c r="B11" s="35"/>
      <c r="C11" s="43"/>
      <c r="D11" s="38"/>
      <c r="E11" s="41"/>
      <c r="F11" s="38">
        <v>0</v>
      </c>
      <c r="G11" s="41">
        <v>0</v>
      </c>
      <c r="H11" s="114"/>
      <c r="I11" s="43"/>
      <c r="J11" s="114">
        <v>0</v>
      </c>
      <c r="K11" s="43">
        <v>0</v>
      </c>
      <c r="L11" s="38"/>
      <c r="M11" s="43"/>
      <c r="N11" s="38">
        <v>25.07</v>
      </c>
      <c r="O11" s="43">
        <v>19.3</v>
      </c>
      <c r="P11" s="38"/>
      <c r="Q11" s="43"/>
      <c r="R11" s="38"/>
      <c r="S11" s="43"/>
      <c r="T11" s="38"/>
      <c r="U11" s="43"/>
    </row>
    <row r="12" spans="1:21" ht="15">
      <c r="A12" s="2" t="s">
        <v>14</v>
      </c>
      <c r="B12" s="35"/>
      <c r="C12" s="43"/>
      <c r="D12" s="38">
        <v>11.64</v>
      </c>
      <c r="E12" s="41">
        <v>17.7</v>
      </c>
      <c r="F12" s="38">
        <v>0</v>
      </c>
      <c r="G12" s="41">
        <v>0</v>
      </c>
      <c r="H12" s="114">
        <v>28.35</v>
      </c>
      <c r="I12" s="43">
        <v>22.7</v>
      </c>
      <c r="J12" s="114">
        <v>27.6</v>
      </c>
      <c r="K12" s="43">
        <v>22.1</v>
      </c>
      <c r="L12" s="38"/>
      <c r="M12" s="43"/>
      <c r="N12" s="38"/>
      <c r="O12" s="43"/>
      <c r="P12" s="38">
        <v>14.54</v>
      </c>
      <c r="Q12" s="43">
        <v>8</v>
      </c>
      <c r="R12" s="38">
        <v>64.78</v>
      </c>
      <c r="S12" s="43">
        <v>28.2</v>
      </c>
      <c r="T12" s="38"/>
      <c r="U12" s="43"/>
    </row>
    <row r="13" spans="1:21" ht="15">
      <c r="A13" s="2" t="s">
        <v>15</v>
      </c>
      <c r="B13" s="35"/>
      <c r="C13" s="43"/>
      <c r="D13" s="38"/>
      <c r="E13" s="41"/>
      <c r="F13" s="38">
        <v>0</v>
      </c>
      <c r="G13" s="41">
        <v>0</v>
      </c>
      <c r="H13" s="114"/>
      <c r="I13" s="43"/>
      <c r="J13" s="114">
        <v>0</v>
      </c>
      <c r="K13" s="43">
        <v>0</v>
      </c>
      <c r="L13" s="38"/>
      <c r="M13" s="43"/>
      <c r="N13" s="38"/>
      <c r="O13" s="43"/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/>
      <c r="C14" s="43"/>
      <c r="D14" s="38"/>
      <c r="E14" s="41"/>
      <c r="F14" s="38">
        <v>0</v>
      </c>
      <c r="G14" s="41">
        <v>0</v>
      </c>
      <c r="H14" s="114"/>
      <c r="I14" s="43"/>
      <c r="J14" s="114">
        <v>0</v>
      </c>
      <c r="K14" s="43">
        <v>0</v>
      </c>
      <c r="L14" s="38"/>
      <c r="M14" s="43"/>
      <c r="N14" s="38"/>
      <c r="O14" s="43"/>
      <c r="P14" s="38"/>
      <c r="Q14" s="43"/>
      <c r="R14" s="38"/>
      <c r="S14" s="43"/>
      <c r="T14" s="38"/>
      <c r="U14" s="43"/>
    </row>
    <row r="15" spans="1:21" ht="15">
      <c r="A15" s="2" t="s">
        <v>17</v>
      </c>
      <c r="B15" s="35"/>
      <c r="C15" s="43"/>
      <c r="D15" s="38"/>
      <c r="E15" s="41"/>
      <c r="F15" s="38">
        <v>0</v>
      </c>
      <c r="G15" s="41">
        <v>0</v>
      </c>
      <c r="H15" s="114"/>
      <c r="I15" s="43"/>
      <c r="J15" s="114">
        <v>0</v>
      </c>
      <c r="K15" s="43">
        <v>0</v>
      </c>
      <c r="L15" s="38"/>
      <c r="M15" s="43"/>
      <c r="N15" s="38"/>
      <c r="O15" s="43"/>
      <c r="P15" s="38"/>
      <c r="Q15" s="43"/>
      <c r="R15" s="38"/>
      <c r="S15" s="43"/>
      <c r="T15" s="38"/>
      <c r="U15" s="43"/>
    </row>
    <row r="16" spans="1:21" ht="15">
      <c r="A16" s="2" t="s">
        <v>18</v>
      </c>
      <c r="B16" s="35"/>
      <c r="C16" s="43"/>
      <c r="D16" s="38"/>
      <c r="E16" s="41"/>
      <c r="F16" s="38">
        <v>0</v>
      </c>
      <c r="G16" s="41">
        <v>0</v>
      </c>
      <c r="H16" s="114"/>
      <c r="I16" s="43"/>
      <c r="J16" s="114">
        <v>11.39</v>
      </c>
      <c r="K16" s="43">
        <v>10</v>
      </c>
      <c r="L16" s="38"/>
      <c r="M16" s="43"/>
      <c r="N16" s="38"/>
      <c r="O16" s="43"/>
      <c r="P16" s="38"/>
      <c r="Q16" s="43"/>
      <c r="R16" s="38"/>
      <c r="S16" s="43"/>
      <c r="T16" s="38"/>
      <c r="U16" s="43"/>
    </row>
    <row r="17" spans="1:21" ht="15">
      <c r="A17" s="2" t="s">
        <v>19</v>
      </c>
      <c r="B17" s="35">
        <v>0</v>
      </c>
      <c r="C17" s="43">
        <v>0</v>
      </c>
      <c r="D17" s="38"/>
      <c r="E17" s="41"/>
      <c r="F17" s="38">
        <v>0</v>
      </c>
      <c r="G17" s="41">
        <v>0</v>
      </c>
      <c r="H17" s="114">
        <v>49.46</v>
      </c>
      <c r="I17" s="43">
        <v>39.6</v>
      </c>
      <c r="J17" s="114">
        <v>0</v>
      </c>
      <c r="K17" s="43">
        <v>0</v>
      </c>
      <c r="L17" s="38">
        <v>27.54</v>
      </c>
      <c r="M17" s="43">
        <v>21.2</v>
      </c>
      <c r="N17" s="38">
        <v>21.8</v>
      </c>
      <c r="O17" s="43">
        <v>12</v>
      </c>
      <c r="P17" s="38">
        <v>36.06</v>
      </c>
      <c r="Q17" s="43">
        <v>15.7</v>
      </c>
      <c r="R17" s="38">
        <v>20.7</v>
      </c>
      <c r="S17" s="43">
        <v>7.5</v>
      </c>
      <c r="T17" s="38"/>
      <c r="U17" s="43"/>
    </row>
    <row r="18" spans="1:21" ht="15.75" thickBot="1">
      <c r="A18" s="2" t="s">
        <v>20</v>
      </c>
      <c r="B18" s="99">
        <v>52.74</v>
      </c>
      <c r="C18" s="86">
        <v>88.9</v>
      </c>
      <c r="D18" s="38">
        <v>67.69</v>
      </c>
      <c r="E18" s="41">
        <v>72.1</v>
      </c>
      <c r="F18" s="38">
        <v>104.56</v>
      </c>
      <c r="G18" s="41">
        <v>91.4</v>
      </c>
      <c r="H18" s="116">
        <v>52.26</v>
      </c>
      <c r="I18" s="86">
        <v>50.3</v>
      </c>
      <c r="J18" s="116">
        <v>62.42</v>
      </c>
      <c r="K18" s="86">
        <v>54.8</v>
      </c>
      <c r="L18" s="38"/>
      <c r="M18" s="43"/>
      <c r="N18" s="38">
        <v>103.02</v>
      </c>
      <c r="O18" s="43">
        <v>56.7</v>
      </c>
      <c r="P18" s="38"/>
      <c r="Q18" s="43"/>
      <c r="R18" s="38">
        <v>93.29</v>
      </c>
      <c r="S18" s="43">
        <v>33.8</v>
      </c>
      <c r="T18" s="38"/>
      <c r="U18" s="43"/>
    </row>
    <row r="19" spans="1:21" s="1" customFormat="1" ht="15.75" thickBot="1">
      <c r="A19" s="2" t="s">
        <v>21</v>
      </c>
      <c r="B19" s="37">
        <f aca="true" t="shared" si="0" ref="B19:H19">SUM(B7:B18)</f>
        <v>52.74</v>
      </c>
      <c r="C19" s="44">
        <f t="shared" si="0"/>
        <v>88.9</v>
      </c>
      <c r="D19" s="93">
        <f t="shared" si="0"/>
        <v>205.76</v>
      </c>
      <c r="E19" s="94">
        <f t="shared" si="0"/>
        <v>285</v>
      </c>
      <c r="F19" s="93">
        <f t="shared" si="0"/>
        <v>399.43</v>
      </c>
      <c r="G19" s="94">
        <f t="shared" si="0"/>
        <v>322</v>
      </c>
      <c r="H19" s="117">
        <f t="shared" si="0"/>
        <v>338.61999999999995</v>
      </c>
      <c r="I19" s="52">
        <f>SUM(I7)</f>
        <v>45.3</v>
      </c>
      <c r="J19" s="117">
        <f>SUM(J7:J18)</f>
        <v>260.41</v>
      </c>
      <c r="K19" s="52">
        <f>SUM(K7)</f>
        <v>82.4</v>
      </c>
      <c r="L19" s="133">
        <f aca="true" t="shared" si="1" ref="L19:S19">SUM(L7:L18)</f>
        <v>209.32</v>
      </c>
      <c r="M19" s="89">
        <f t="shared" si="1"/>
        <v>180.79999999999998</v>
      </c>
      <c r="N19" s="133">
        <f t="shared" si="1"/>
        <v>412.41999999999996</v>
      </c>
      <c r="O19" s="89">
        <f t="shared" si="1"/>
        <v>290.1</v>
      </c>
      <c r="P19" s="133">
        <f t="shared" si="1"/>
        <v>279.19000000000005</v>
      </c>
      <c r="Q19" s="89">
        <f t="shared" si="1"/>
        <v>149.5</v>
      </c>
      <c r="R19" s="133">
        <f t="shared" si="1"/>
        <v>515.51</v>
      </c>
      <c r="S19" s="89">
        <f t="shared" si="1"/>
        <v>216.09999999999997</v>
      </c>
      <c r="T19" s="133">
        <f>SUM(T7:T18)</f>
        <v>333.68</v>
      </c>
      <c r="U19" s="89">
        <f>SUM(U7:U18)</f>
        <v>120.9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U19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U10" sqref="U10"/>
    </sheetView>
  </sheetViews>
  <sheetFormatPr defaultColWidth="11.5546875" defaultRowHeight="15"/>
  <cols>
    <col min="1" max="1" width="13.6640625" style="3" bestFit="1" customWidth="1"/>
    <col min="2" max="2" width="9.6640625" style="7" customWidth="1"/>
    <col min="3" max="3" width="8.6640625" style="0" customWidth="1"/>
    <col min="4" max="4" width="8.88671875" style="8" customWidth="1"/>
    <col min="5" max="7" width="8.6640625" style="0" customWidth="1"/>
    <col min="8" max="8" width="10.3359375" style="111" bestFit="1" customWidth="1"/>
    <col min="9" max="15" width="8.6640625" style="0" customWidth="1"/>
    <col min="16" max="16" width="9.88671875" style="0" customWidth="1"/>
    <col min="17" max="17" width="8.6640625" style="0" customWidth="1"/>
    <col min="18" max="18" width="9.6640625" style="0" customWidth="1"/>
    <col min="19" max="19" width="8.6640625" style="0" customWidth="1"/>
    <col min="20" max="20" width="9.6640625" style="0" bestFit="1" customWidth="1"/>
    <col min="21" max="16384" width="8.6640625" style="0" customWidth="1"/>
  </cols>
  <sheetData>
    <row r="1" ht="15">
      <c r="A1" s="153" t="s">
        <v>30</v>
      </c>
    </row>
    <row r="2" ht="15.75" thickBot="1"/>
    <row r="3" spans="1:21" s="5" customFormat="1" ht="16.5">
      <c r="A3" s="155"/>
      <c r="B3" s="45">
        <v>1998</v>
      </c>
      <c r="C3" s="46"/>
      <c r="D3" s="26">
        <v>1999</v>
      </c>
      <c r="E3" s="28"/>
      <c r="F3" s="26">
        <v>2000</v>
      </c>
      <c r="G3" s="28"/>
      <c r="H3" s="118">
        <v>2001</v>
      </c>
      <c r="I3" s="46"/>
      <c r="J3" s="118" t="s">
        <v>33</v>
      </c>
      <c r="K3" s="46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5" customFormat="1" ht="15">
      <c r="A4" s="4"/>
      <c r="B4" s="50" t="s">
        <v>5</v>
      </c>
      <c r="C4" s="34"/>
      <c r="D4" s="29" t="s">
        <v>5</v>
      </c>
      <c r="E4" s="31"/>
      <c r="F4" s="29" t="s">
        <v>5</v>
      </c>
      <c r="G4" s="31"/>
      <c r="H4" s="112" t="s">
        <v>5</v>
      </c>
      <c r="I4" s="34"/>
      <c r="J4" s="112" t="s">
        <v>5</v>
      </c>
      <c r="K4" s="34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5" customFormat="1" ht="15">
      <c r="A5" s="4" t="s">
        <v>22</v>
      </c>
      <c r="B5" s="51" t="s">
        <v>8</v>
      </c>
      <c r="C5" s="34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112" t="s">
        <v>8</v>
      </c>
      <c r="I5" s="34" t="s">
        <v>7</v>
      </c>
      <c r="J5" s="112" t="s">
        <v>8</v>
      </c>
      <c r="K5" s="34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51"/>
      <c r="C6" s="34"/>
      <c r="D6" s="32"/>
      <c r="E6" s="34"/>
      <c r="F6" s="32"/>
      <c r="G6" s="34"/>
      <c r="H6" s="112"/>
      <c r="I6" s="34"/>
      <c r="J6" s="112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/>
      <c r="C7" s="43">
        <v>0</v>
      </c>
      <c r="D7" s="38">
        <v>29.46</v>
      </c>
      <c r="E7" s="41">
        <v>58.1</v>
      </c>
      <c r="F7" s="38">
        <v>105.97</v>
      </c>
      <c r="G7" s="41">
        <v>99.7</v>
      </c>
      <c r="H7" s="114"/>
      <c r="I7" s="43"/>
      <c r="J7" s="114">
        <v>92.16</v>
      </c>
      <c r="K7" s="43">
        <v>88.7</v>
      </c>
      <c r="L7" s="38">
        <v>101.04</v>
      </c>
      <c r="M7" s="43">
        <v>107.6</v>
      </c>
      <c r="N7" s="38">
        <v>174.63</v>
      </c>
      <c r="O7" s="43">
        <v>158.9</v>
      </c>
      <c r="P7" s="38">
        <v>131.62</v>
      </c>
      <c r="Q7" s="43">
        <v>81.4</v>
      </c>
      <c r="R7" s="38">
        <v>179.08</v>
      </c>
      <c r="S7" s="43">
        <v>85.4</v>
      </c>
      <c r="T7" s="38">
        <v>331.85</v>
      </c>
      <c r="U7" s="43">
        <v>134.9</v>
      </c>
    </row>
    <row r="8" spans="1:21" ht="15">
      <c r="A8" s="2" t="s">
        <v>10</v>
      </c>
      <c r="B8" s="35"/>
      <c r="C8" s="43"/>
      <c r="D8" s="38">
        <v>27.67</v>
      </c>
      <c r="E8" s="41">
        <v>54.6</v>
      </c>
      <c r="F8" s="38">
        <v>0</v>
      </c>
      <c r="G8" s="41">
        <v>0</v>
      </c>
      <c r="H8" s="113">
        <v>115.5</v>
      </c>
      <c r="I8" s="83">
        <v>116.2</v>
      </c>
      <c r="J8" s="113">
        <v>0</v>
      </c>
      <c r="K8" s="83">
        <v>0</v>
      </c>
      <c r="L8" s="38">
        <v>108.74</v>
      </c>
      <c r="M8" s="43">
        <v>115.8</v>
      </c>
      <c r="N8" s="38">
        <v>92.1</v>
      </c>
      <c r="O8" s="43">
        <v>83.8</v>
      </c>
      <c r="P8" s="38">
        <v>223.98</v>
      </c>
      <c r="Q8" s="43">
        <v>144.7</v>
      </c>
      <c r="R8" s="38"/>
      <c r="S8" s="43"/>
      <c r="T8" s="38">
        <v>319.8</v>
      </c>
      <c r="U8" s="43">
        <v>130</v>
      </c>
    </row>
    <row r="9" spans="1:21" ht="15">
      <c r="A9" s="2" t="s">
        <v>11</v>
      </c>
      <c r="B9" s="35"/>
      <c r="C9" s="43"/>
      <c r="D9" s="38"/>
      <c r="E9" s="41"/>
      <c r="F9" s="38">
        <v>0</v>
      </c>
      <c r="G9" s="41">
        <v>0</v>
      </c>
      <c r="H9" s="114">
        <v>113.51</v>
      </c>
      <c r="I9" s="43">
        <v>114.2</v>
      </c>
      <c r="J9" s="114">
        <v>128.52</v>
      </c>
      <c r="K9" s="43">
        <v>123.7</v>
      </c>
      <c r="L9" s="38">
        <v>222.63</v>
      </c>
      <c r="M9" s="43">
        <v>237.1</v>
      </c>
      <c r="N9" s="38">
        <v>67.04</v>
      </c>
      <c r="O9" s="43">
        <v>61</v>
      </c>
      <c r="P9" s="38">
        <v>134.53</v>
      </c>
      <c r="Q9" s="43">
        <v>83.2</v>
      </c>
      <c r="R9" s="38">
        <v>283.3</v>
      </c>
      <c r="S9" s="43">
        <v>135.1</v>
      </c>
      <c r="T9" s="38">
        <v>215.74</v>
      </c>
      <c r="U9" s="43">
        <v>87.7</v>
      </c>
    </row>
    <row r="10" spans="1:21" ht="15">
      <c r="A10" s="2" t="s">
        <v>23</v>
      </c>
      <c r="B10" s="35"/>
      <c r="C10" s="43"/>
      <c r="D10" s="38"/>
      <c r="E10" s="41"/>
      <c r="F10" s="38">
        <v>140.08</v>
      </c>
      <c r="G10" s="41">
        <v>157</v>
      </c>
      <c r="H10" s="114"/>
      <c r="I10" s="43"/>
      <c r="J10" s="114">
        <v>59.02</v>
      </c>
      <c r="K10" s="43">
        <v>56.8</v>
      </c>
      <c r="L10" s="38">
        <v>39.16</v>
      </c>
      <c r="M10" s="43">
        <v>41.7</v>
      </c>
      <c r="N10" s="38">
        <v>66.05</v>
      </c>
      <c r="O10" s="43">
        <v>60.1</v>
      </c>
      <c r="P10" s="38">
        <v>115.62</v>
      </c>
      <c r="Q10" s="43">
        <v>71.5</v>
      </c>
      <c r="R10" s="38"/>
      <c r="S10" s="43"/>
      <c r="T10" s="38"/>
      <c r="U10" s="43"/>
    </row>
    <row r="11" spans="1:21" ht="15">
      <c r="A11" s="2" t="s">
        <v>13</v>
      </c>
      <c r="B11" s="35"/>
      <c r="C11" s="43"/>
      <c r="D11" s="38"/>
      <c r="E11" s="41"/>
      <c r="F11" s="38">
        <v>0</v>
      </c>
      <c r="G11" s="41">
        <v>0</v>
      </c>
      <c r="H11" s="114"/>
      <c r="I11" s="43"/>
      <c r="J11" s="114">
        <v>54.34</v>
      </c>
      <c r="K11" s="43">
        <v>52.3</v>
      </c>
      <c r="L11" s="38">
        <v>29.95</v>
      </c>
      <c r="M11" s="43">
        <v>31.9</v>
      </c>
      <c r="N11" s="38">
        <v>32.09</v>
      </c>
      <c r="O11" s="43">
        <v>29.2</v>
      </c>
      <c r="R11" s="38">
        <v>253.53</v>
      </c>
      <c r="S11" s="43">
        <v>120.9</v>
      </c>
      <c r="T11" s="38"/>
      <c r="U11" s="43"/>
    </row>
    <row r="12" spans="1:21" ht="15">
      <c r="A12" s="2" t="s">
        <v>14</v>
      </c>
      <c r="B12" s="35"/>
      <c r="C12" s="43"/>
      <c r="D12" s="38">
        <v>122.22</v>
      </c>
      <c r="E12" s="41">
        <v>207.3</v>
      </c>
      <c r="F12" s="38">
        <v>51.35</v>
      </c>
      <c r="G12" s="41">
        <v>54.5</v>
      </c>
      <c r="H12" s="114">
        <v>56.52</v>
      </c>
      <c r="I12" s="43">
        <v>54.4</v>
      </c>
      <c r="J12" s="114">
        <v>9.25</v>
      </c>
      <c r="K12" s="43">
        <v>8.9</v>
      </c>
      <c r="L12" s="38">
        <v>21.32</v>
      </c>
      <c r="M12" s="43">
        <v>19.4</v>
      </c>
      <c r="N12" s="38"/>
      <c r="O12" s="43"/>
      <c r="P12" s="38">
        <v>31.05</v>
      </c>
      <c r="Q12" s="43">
        <v>19.2</v>
      </c>
      <c r="R12" s="38">
        <v>25.16</v>
      </c>
      <c r="S12" s="43">
        <v>12</v>
      </c>
      <c r="T12" s="38"/>
      <c r="U12" s="43"/>
    </row>
    <row r="13" spans="1:21" ht="15">
      <c r="A13" s="2" t="s">
        <v>15</v>
      </c>
      <c r="B13" s="35"/>
      <c r="C13" s="43"/>
      <c r="D13" s="38"/>
      <c r="E13" s="41"/>
      <c r="F13" s="38">
        <v>0</v>
      </c>
      <c r="G13" s="41">
        <v>0</v>
      </c>
      <c r="H13" s="114"/>
      <c r="I13" s="43"/>
      <c r="J13" s="114">
        <v>0</v>
      </c>
      <c r="K13" s="43">
        <v>0</v>
      </c>
      <c r="L13" s="38"/>
      <c r="M13" s="43"/>
      <c r="N13" s="38"/>
      <c r="O13" s="43"/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/>
      <c r="C14" s="43"/>
      <c r="D14" s="38"/>
      <c r="E14" s="41"/>
      <c r="F14" s="38">
        <v>0</v>
      </c>
      <c r="G14" s="41">
        <v>0</v>
      </c>
      <c r="H14" s="114"/>
      <c r="I14" s="43"/>
      <c r="J14" s="114">
        <v>0</v>
      </c>
      <c r="K14" s="43">
        <v>0</v>
      </c>
      <c r="L14" s="38"/>
      <c r="M14" s="43"/>
      <c r="N14" s="38"/>
      <c r="O14" s="43"/>
      <c r="P14" s="38"/>
      <c r="Q14" s="43"/>
      <c r="R14" s="38"/>
      <c r="S14" s="43"/>
      <c r="T14" s="38"/>
      <c r="U14" s="43"/>
    </row>
    <row r="15" spans="1:21" ht="15">
      <c r="A15" s="2" t="s">
        <v>17</v>
      </c>
      <c r="B15" s="35"/>
      <c r="C15" s="43"/>
      <c r="D15" s="38"/>
      <c r="E15" s="41"/>
      <c r="F15" s="38">
        <v>0</v>
      </c>
      <c r="G15" s="41">
        <v>0</v>
      </c>
      <c r="H15" s="114"/>
      <c r="I15" s="43"/>
      <c r="J15" s="114">
        <v>0</v>
      </c>
      <c r="K15" s="43">
        <v>0</v>
      </c>
      <c r="L15" s="38"/>
      <c r="M15" s="43"/>
      <c r="N15" s="38"/>
      <c r="O15" s="43"/>
      <c r="P15" s="38"/>
      <c r="Q15" s="43"/>
      <c r="R15" s="38"/>
      <c r="S15" s="43"/>
      <c r="T15" s="38"/>
      <c r="U15" s="43"/>
    </row>
    <row r="16" spans="1:21" ht="15">
      <c r="A16" s="2" t="s">
        <v>18</v>
      </c>
      <c r="B16" s="35"/>
      <c r="C16" s="43"/>
      <c r="D16" s="38"/>
      <c r="E16" s="41"/>
      <c r="F16" s="38">
        <v>0</v>
      </c>
      <c r="G16" s="41">
        <v>0</v>
      </c>
      <c r="H16" s="114"/>
      <c r="I16" s="43"/>
      <c r="J16" s="114">
        <v>0</v>
      </c>
      <c r="K16" s="43">
        <v>0</v>
      </c>
      <c r="L16" s="38">
        <v>19.45</v>
      </c>
      <c r="M16" s="43">
        <v>17.7</v>
      </c>
      <c r="N16" s="38">
        <v>31.56</v>
      </c>
      <c r="O16" s="43">
        <v>18.9</v>
      </c>
      <c r="P16" s="38"/>
      <c r="Q16" s="43"/>
      <c r="R16" s="38">
        <v>179.83</v>
      </c>
      <c r="S16" s="43">
        <v>73.1</v>
      </c>
      <c r="T16" s="38"/>
      <c r="U16" s="43"/>
    </row>
    <row r="17" spans="1:21" ht="15">
      <c r="A17" s="2" t="s">
        <v>19</v>
      </c>
      <c r="B17" s="35"/>
      <c r="C17" s="43"/>
      <c r="D17" s="38">
        <v>33.37</v>
      </c>
      <c r="E17" s="41">
        <v>43.1</v>
      </c>
      <c r="F17" s="38">
        <v>97.91</v>
      </c>
      <c r="G17" s="41">
        <v>98.5</v>
      </c>
      <c r="H17" s="114">
        <v>58.08</v>
      </c>
      <c r="I17" s="43">
        <v>55.9</v>
      </c>
      <c r="J17" s="114">
        <v>39.63</v>
      </c>
      <c r="K17" s="43">
        <v>42.2</v>
      </c>
      <c r="L17" s="38"/>
      <c r="M17" s="43"/>
      <c r="N17" s="38"/>
      <c r="O17" s="43"/>
      <c r="P17" s="38">
        <v>167.76</v>
      </c>
      <c r="Q17" s="43">
        <v>80</v>
      </c>
      <c r="R17" s="38">
        <v>229.52</v>
      </c>
      <c r="S17" s="43">
        <v>93.3</v>
      </c>
      <c r="T17" s="38"/>
      <c r="U17" s="43"/>
    </row>
    <row r="18" spans="1:21" ht="15.75" thickBot="1">
      <c r="A18" s="2" t="s">
        <v>20</v>
      </c>
      <c r="B18" s="99">
        <v>39.97</v>
      </c>
      <c r="C18" s="86">
        <v>78.2</v>
      </c>
      <c r="D18" s="38">
        <v>126.31</v>
      </c>
      <c r="E18" s="41">
        <v>145.2</v>
      </c>
      <c r="F18" s="38">
        <v>96.82</v>
      </c>
      <c r="G18" s="41">
        <v>97.4</v>
      </c>
      <c r="H18" s="116">
        <v>69.61</v>
      </c>
      <c r="I18" s="86">
        <v>67</v>
      </c>
      <c r="J18" s="116">
        <v>62.16</v>
      </c>
      <c r="K18" s="86">
        <v>66.2</v>
      </c>
      <c r="L18" s="38">
        <v>102.76</v>
      </c>
      <c r="M18" s="43">
        <v>93.5</v>
      </c>
      <c r="N18" s="38">
        <v>195.17</v>
      </c>
      <c r="O18" s="43">
        <v>120.7</v>
      </c>
      <c r="P18" s="38">
        <v>232.14</v>
      </c>
      <c r="Q18" s="43">
        <v>110.7</v>
      </c>
      <c r="R18" s="38">
        <v>177.37</v>
      </c>
      <c r="S18" s="43">
        <v>72.1</v>
      </c>
      <c r="T18" s="38"/>
      <c r="U18" s="43"/>
    </row>
    <row r="19" spans="1:21" s="1" customFormat="1" ht="15.75" thickBot="1">
      <c r="A19" s="2" t="s">
        <v>21</v>
      </c>
      <c r="B19" s="37">
        <f aca="true" t="shared" si="0" ref="B19:G19">SUM(B7:B18)</f>
        <v>39.97</v>
      </c>
      <c r="C19" s="52">
        <f t="shared" si="0"/>
        <v>78.2</v>
      </c>
      <c r="D19" s="93">
        <f t="shared" si="0"/>
        <v>339.03</v>
      </c>
      <c r="E19" s="94">
        <f t="shared" si="0"/>
        <v>508.3</v>
      </c>
      <c r="F19" s="93">
        <f t="shared" si="0"/>
        <v>492.13000000000005</v>
      </c>
      <c r="G19" s="94">
        <f t="shared" si="0"/>
        <v>507.1</v>
      </c>
      <c r="H19" s="117">
        <f>SUM(H8:H18)</f>
        <v>413.21999999999997</v>
      </c>
      <c r="I19" s="52">
        <f>SUM(I8:I18)</f>
        <v>407.7</v>
      </c>
      <c r="J19" s="117">
        <f>SUM(J8:J18)</f>
        <v>352.9200000000001</v>
      </c>
      <c r="K19" s="52">
        <f>SUM(K8:K18)</f>
        <v>350.1</v>
      </c>
      <c r="L19" s="133">
        <f aca="true" t="shared" si="1" ref="L19:S19">SUM(L7:L18)</f>
        <v>645.05</v>
      </c>
      <c r="M19" s="89">
        <f t="shared" si="1"/>
        <v>664.7</v>
      </c>
      <c r="N19" s="133">
        <f t="shared" si="1"/>
        <v>658.6400000000001</v>
      </c>
      <c r="O19" s="89">
        <f t="shared" si="1"/>
        <v>532.6</v>
      </c>
      <c r="P19" s="133">
        <f t="shared" si="1"/>
        <v>1036.6999999999998</v>
      </c>
      <c r="Q19" s="89">
        <f t="shared" si="1"/>
        <v>590.7</v>
      </c>
      <c r="R19" s="133">
        <f t="shared" si="1"/>
        <v>1327.79</v>
      </c>
      <c r="S19" s="89">
        <f t="shared" si="1"/>
        <v>591.9</v>
      </c>
      <c r="T19" s="133">
        <f>SUM(T7:T18)</f>
        <v>867.3900000000001</v>
      </c>
      <c r="U19" s="89">
        <f>SUM(U7:U18)</f>
        <v>352.59999999999997</v>
      </c>
    </row>
  </sheetData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U19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U10" sqref="U10"/>
    </sheetView>
  </sheetViews>
  <sheetFormatPr defaultColWidth="11.5546875" defaultRowHeight="15"/>
  <cols>
    <col min="1" max="1" width="13.6640625" style="3" bestFit="1" customWidth="1"/>
    <col min="2" max="2" width="9.6640625" style="8" customWidth="1"/>
    <col min="3" max="3" width="10.3359375" style="0" customWidth="1"/>
    <col min="4" max="4" width="8.88671875" style="8" customWidth="1"/>
    <col min="5" max="7" width="8.6640625" style="0" customWidth="1"/>
    <col min="8" max="8" width="10.3359375" style="111" bestFit="1" customWidth="1"/>
    <col min="9" max="17" width="8.6640625" style="0" customWidth="1"/>
    <col min="18" max="18" width="9.6640625" style="0" bestFit="1" customWidth="1"/>
    <col min="19" max="16384" width="8.6640625" style="0" customWidth="1"/>
  </cols>
  <sheetData>
    <row r="1" ht="15">
      <c r="A1" s="153" t="s">
        <v>29</v>
      </c>
    </row>
    <row r="2" ht="15.75" thickBot="1"/>
    <row r="3" spans="1:21" s="23" customFormat="1" ht="16.5">
      <c r="A3" s="167"/>
      <c r="B3" s="26">
        <v>1998</v>
      </c>
      <c r="C3" s="28"/>
      <c r="D3" s="26">
        <v>1999</v>
      </c>
      <c r="E3" s="28"/>
      <c r="F3" s="26">
        <v>2000</v>
      </c>
      <c r="G3" s="28"/>
      <c r="H3" s="122">
        <v>2001</v>
      </c>
      <c r="I3" s="28"/>
      <c r="J3" s="122" t="s">
        <v>33</v>
      </c>
      <c r="K3" s="28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25" customFormat="1" ht="15">
      <c r="A4" s="24"/>
      <c r="B4" s="29" t="s">
        <v>5</v>
      </c>
      <c r="C4" s="31"/>
      <c r="D4" s="29" t="s">
        <v>5</v>
      </c>
      <c r="E4" s="31"/>
      <c r="F4" s="29" t="s">
        <v>5</v>
      </c>
      <c r="G4" s="31"/>
      <c r="H4" s="121" t="s">
        <v>5</v>
      </c>
      <c r="I4" s="31"/>
      <c r="J4" s="121" t="s">
        <v>5</v>
      </c>
      <c r="K4" s="31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25" customFormat="1" ht="15">
      <c r="A5" s="24" t="s">
        <v>22</v>
      </c>
      <c r="B5" s="29" t="s">
        <v>8</v>
      </c>
      <c r="C5" s="31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121" t="s">
        <v>8</v>
      </c>
      <c r="I5" s="31" t="s">
        <v>7</v>
      </c>
      <c r="J5" s="121" t="s">
        <v>8</v>
      </c>
      <c r="K5" s="31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32"/>
      <c r="C6" s="34"/>
      <c r="D6" s="32"/>
      <c r="E6" s="34"/>
      <c r="F6" s="32"/>
      <c r="G6" s="34"/>
      <c r="H6" s="112"/>
      <c r="I6" s="34"/>
      <c r="J6" s="112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/>
      <c r="C7" s="43"/>
      <c r="D7" s="38">
        <v>21.65</v>
      </c>
      <c r="E7" s="41">
        <v>42.7</v>
      </c>
      <c r="F7" s="38">
        <v>0</v>
      </c>
      <c r="G7" s="41">
        <v>0</v>
      </c>
      <c r="H7" s="114"/>
      <c r="I7" s="43"/>
      <c r="J7" s="114">
        <v>30.65</v>
      </c>
      <c r="K7" s="43">
        <v>29.5</v>
      </c>
      <c r="L7" s="38">
        <v>252.87</v>
      </c>
      <c r="M7" s="43">
        <v>296.3</v>
      </c>
      <c r="N7" s="38">
        <v>90.01</v>
      </c>
      <c r="O7" s="43">
        <v>81.9</v>
      </c>
      <c r="P7" s="38"/>
      <c r="Q7" s="43"/>
      <c r="R7" s="38">
        <v>128.97</v>
      </c>
      <c r="S7" s="43">
        <v>61.5</v>
      </c>
      <c r="T7" s="38">
        <v>140.71</v>
      </c>
      <c r="U7" s="43">
        <v>57.2</v>
      </c>
    </row>
    <row r="8" spans="1:21" ht="15">
      <c r="A8" s="2" t="s">
        <v>10</v>
      </c>
      <c r="B8" s="35"/>
      <c r="C8" s="43"/>
      <c r="D8" s="38">
        <v>36.08</v>
      </c>
      <c r="E8" s="41">
        <v>71.2</v>
      </c>
      <c r="F8" s="38">
        <v>116.42</v>
      </c>
      <c r="G8" s="41">
        <v>75.6</v>
      </c>
      <c r="H8" s="114"/>
      <c r="I8" s="43"/>
      <c r="J8" s="114">
        <v>104.52</v>
      </c>
      <c r="K8" s="43">
        <v>100.6</v>
      </c>
      <c r="L8" s="38">
        <v>73.81</v>
      </c>
      <c r="M8" s="43">
        <v>78.6</v>
      </c>
      <c r="N8" s="38">
        <v>68.6</v>
      </c>
      <c r="O8" s="43">
        <v>62.6</v>
      </c>
      <c r="P8" s="38"/>
      <c r="Q8" s="43"/>
      <c r="R8" s="38"/>
      <c r="S8" s="43"/>
      <c r="T8" s="38">
        <v>219.43</v>
      </c>
      <c r="U8" s="43">
        <v>89.2</v>
      </c>
    </row>
    <row r="9" spans="1:21" ht="15">
      <c r="A9" s="2" t="s">
        <v>11</v>
      </c>
      <c r="B9" s="35"/>
      <c r="C9" s="43"/>
      <c r="D9" s="38">
        <v>61.18</v>
      </c>
      <c r="E9" s="41">
        <v>107.5</v>
      </c>
      <c r="F9" s="38">
        <v>0</v>
      </c>
      <c r="G9" s="41">
        <v>0</v>
      </c>
      <c r="H9" s="114">
        <v>133.99</v>
      </c>
      <c r="I9" s="43">
        <v>134.8</v>
      </c>
      <c r="J9" s="114">
        <v>0</v>
      </c>
      <c r="K9" s="43">
        <v>0</v>
      </c>
      <c r="L9" s="38">
        <v>70.61</v>
      </c>
      <c r="M9" s="43">
        <v>75.2</v>
      </c>
      <c r="N9" s="38"/>
      <c r="O9" s="43"/>
      <c r="P9" s="38">
        <v>166.23</v>
      </c>
      <c r="Q9" s="43">
        <v>102.8</v>
      </c>
      <c r="R9" s="38">
        <v>158.11</v>
      </c>
      <c r="S9" s="43">
        <v>75.4</v>
      </c>
      <c r="T9" s="38">
        <v>184.75</v>
      </c>
      <c r="U9" s="43">
        <v>75.1</v>
      </c>
    </row>
    <row r="10" spans="1:21" ht="15">
      <c r="A10" s="2" t="s">
        <v>23</v>
      </c>
      <c r="B10" s="35"/>
      <c r="C10" s="43"/>
      <c r="D10" s="38"/>
      <c r="E10" s="41"/>
      <c r="F10" s="38">
        <v>0</v>
      </c>
      <c r="G10" s="41">
        <v>0</v>
      </c>
      <c r="H10" s="114"/>
      <c r="I10" s="43"/>
      <c r="J10" s="114">
        <v>69.2</v>
      </c>
      <c r="K10" s="43">
        <v>66.6</v>
      </c>
      <c r="L10" s="38">
        <v>35.68</v>
      </c>
      <c r="M10" s="43">
        <v>38</v>
      </c>
      <c r="N10" s="38">
        <v>68.58</v>
      </c>
      <c r="O10" s="43">
        <v>62.4</v>
      </c>
      <c r="P10" s="38">
        <v>119.98</v>
      </c>
      <c r="Q10" s="43">
        <v>74.2</v>
      </c>
      <c r="R10" s="38"/>
      <c r="S10" s="43"/>
      <c r="T10" s="38"/>
      <c r="U10" s="43"/>
    </row>
    <row r="11" spans="1:21" ht="15">
      <c r="A11" s="2" t="s">
        <v>13</v>
      </c>
      <c r="B11" s="35"/>
      <c r="C11" s="43"/>
      <c r="D11" s="38"/>
      <c r="E11" s="41"/>
      <c r="F11" s="38">
        <v>162.44</v>
      </c>
      <c r="G11" s="41">
        <v>172</v>
      </c>
      <c r="H11" s="114"/>
      <c r="I11" s="43"/>
      <c r="J11" s="114">
        <v>59.74</v>
      </c>
      <c r="K11" s="43">
        <f>SUM(O19)</f>
        <v>388.2</v>
      </c>
      <c r="L11" s="38">
        <v>42.82</v>
      </c>
      <c r="M11" s="43">
        <v>45.6</v>
      </c>
      <c r="N11" s="38">
        <v>34.07</v>
      </c>
      <c r="O11" s="43">
        <v>31</v>
      </c>
      <c r="P11" s="38"/>
      <c r="Q11" s="43"/>
      <c r="R11" s="38">
        <v>147</v>
      </c>
      <c r="S11" s="43">
        <v>70.1</v>
      </c>
      <c r="T11" s="38"/>
      <c r="U11" s="43"/>
    </row>
    <row r="12" spans="1:21" ht="15">
      <c r="A12" s="2" t="s">
        <v>14</v>
      </c>
      <c r="B12" s="35"/>
      <c r="C12" s="43"/>
      <c r="D12" s="38">
        <v>46.7</v>
      </c>
      <c r="E12" s="41">
        <v>79.2</v>
      </c>
      <c r="F12" s="38">
        <v>30.04</v>
      </c>
      <c r="G12" s="41">
        <v>31.3</v>
      </c>
      <c r="H12" s="114">
        <v>124.68</v>
      </c>
      <c r="I12" s="43">
        <v>120</v>
      </c>
      <c r="J12" s="114">
        <v>0</v>
      </c>
      <c r="K12" s="43"/>
      <c r="L12" s="38">
        <v>29.67</v>
      </c>
      <c r="M12" s="43">
        <v>27</v>
      </c>
      <c r="N12" s="38"/>
      <c r="O12" s="43"/>
      <c r="P12" s="38">
        <v>47.06</v>
      </c>
      <c r="Q12" s="43">
        <v>29.1</v>
      </c>
      <c r="R12" s="38">
        <v>39.21</v>
      </c>
      <c r="S12" s="43">
        <v>18.7</v>
      </c>
      <c r="T12" s="38"/>
      <c r="U12" s="43"/>
    </row>
    <row r="13" spans="1:21" ht="15">
      <c r="A13" s="2" t="s">
        <v>15</v>
      </c>
      <c r="B13" s="35"/>
      <c r="C13" s="43"/>
      <c r="D13" s="38"/>
      <c r="E13" s="41"/>
      <c r="F13" s="38">
        <v>0</v>
      </c>
      <c r="G13" s="41">
        <v>0</v>
      </c>
      <c r="H13" s="114"/>
      <c r="I13" s="43"/>
      <c r="J13" s="114">
        <v>0</v>
      </c>
      <c r="K13" s="43">
        <v>0</v>
      </c>
      <c r="L13" s="38"/>
      <c r="M13" s="43"/>
      <c r="N13" s="38"/>
      <c r="O13" s="43"/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/>
      <c r="C14" s="43"/>
      <c r="D14" s="38">
        <v>21.94</v>
      </c>
      <c r="E14" s="41">
        <v>29.9</v>
      </c>
      <c r="F14" s="38">
        <v>26.84</v>
      </c>
      <c r="G14" s="41">
        <v>27</v>
      </c>
      <c r="H14" s="114">
        <v>35.64</v>
      </c>
      <c r="I14" s="43">
        <v>34.3</v>
      </c>
      <c r="J14" s="114">
        <v>24.7</v>
      </c>
      <c r="K14" s="43">
        <v>23.19</v>
      </c>
      <c r="L14" s="38"/>
      <c r="M14" s="43"/>
      <c r="N14" s="38">
        <v>36.05</v>
      </c>
      <c r="O14" s="43">
        <v>32.8</v>
      </c>
      <c r="P14" s="38">
        <v>61.44</v>
      </c>
      <c r="Q14" s="43">
        <v>29.3</v>
      </c>
      <c r="R14" s="38">
        <v>69.37</v>
      </c>
      <c r="S14" s="43">
        <v>28.2</v>
      </c>
      <c r="T14" s="38"/>
      <c r="U14" s="43"/>
    </row>
    <row r="15" spans="1:21" ht="15">
      <c r="A15" s="2" t="s">
        <v>17</v>
      </c>
      <c r="B15" s="35"/>
      <c r="C15" s="43"/>
      <c r="D15" s="38"/>
      <c r="E15" s="41"/>
      <c r="F15" s="38">
        <v>0</v>
      </c>
      <c r="G15" s="41">
        <v>0</v>
      </c>
      <c r="H15" s="114"/>
      <c r="I15" s="43"/>
      <c r="J15" s="114">
        <v>0</v>
      </c>
      <c r="K15" s="43">
        <v>0</v>
      </c>
      <c r="L15" s="38">
        <v>26.93</v>
      </c>
      <c r="M15" s="43">
        <v>24.5</v>
      </c>
      <c r="N15" s="38"/>
      <c r="O15" s="43"/>
      <c r="P15" s="38"/>
      <c r="Q15" s="43"/>
      <c r="R15" s="38"/>
      <c r="S15" s="43"/>
      <c r="T15" s="38"/>
      <c r="U15" s="43"/>
    </row>
    <row r="16" spans="1:21" ht="15">
      <c r="A16" s="2" t="s">
        <v>18</v>
      </c>
      <c r="B16" s="35"/>
      <c r="C16" s="43"/>
      <c r="D16" s="38">
        <v>29.2</v>
      </c>
      <c r="E16" s="41">
        <v>38</v>
      </c>
      <c r="F16" s="38">
        <v>0</v>
      </c>
      <c r="G16" s="41">
        <v>0</v>
      </c>
      <c r="H16" s="114"/>
      <c r="I16" s="43"/>
      <c r="J16" s="114">
        <v>0</v>
      </c>
      <c r="K16" s="43">
        <v>0</v>
      </c>
      <c r="L16" s="38">
        <v>33.41</v>
      </c>
      <c r="M16" s="43">
        <v>30.4</v>
      </c>
      <c r="N16" s="38"/>
      <c r="O16" s="43"/>
      <c r="P16" s="38"/>
      <c r="Q16" s="43"/>
      <c r="R16" s="38">
        <v>226.07</v>
      </c>
      <c r="S16" s="43">
        <v>91.9</v>
      </c>
      <c r="T16" s="38"/>
      <c r="U16" s="43"/>
    </row>
    <row r="17" spans="1:21" ht="15">
      <c r="A17" s="2" t="s">
        <v>19</v>
      </c>
      <c r="B17" s="35">
        <v>15.44</v>
      </c>
      <c r="C17" s="43">
        <v>27.8</v>
      </c>
      <c r="D17" s="38">
        <v>43.2</v>
      </c>
      <c r="E17" s="41">
        <v>52.1</v>
      </c>
      <c r="F17" s="38">
        <v>0</v>
      </c>
      <c r="G17" s="41">
        <v>0</v>
      </c>
      <c r="H17" s="114">
        <v>122.5</v>
      </c>
      <c r="I17" s="43">
        <v>117.9</v>
      </c>
      <c r="J17" s="114">
        <v>72.68</v>
      </c>
      <c r="K17" s="43">
        <v>77.4</v>
      </c>
      <c r="L17" s="38">
        <v>49.02</v>
      </c>
      <c r="M17" s="43">
        <v>44.6</v>
      </c>
      <c r="N17" s="38">
        <v>95.89</v>
      </c>
      <c r="O17" s="43">
        <v>59.3</v>
      </c>
      <c r="P17" s="38">
        <v>258.35</v>
      </c>
      <c r="Q17" s="43">
        <v>123.2</v>
      </c>
      <c r="R17" s="38">
        <v>198.52</v>
      </c>
      <c r="S17" s="43">
        <v>80.7</v>
      </c>
      <c r="T17" s="38"/>
      <c r="U17" s="43"/>
    </row>
    <row r="18" spans="1:21" ht="15.75" thickBot="1">
      <c r="A18" s="2" t="s">
        <v>20</v>
      </c>
      <c r="B18" s="99">
        <v>33.83</v>
      </c>
      <c r="C18" s="86">
        <v>67.7</v>
      </c>
      <c r="D18" s="38">
        <v>76.73</v>
      </c>
      <c r="E18" s="41">
        <v>88.2</v>
      </c>
      <c r="F18" s="38">
        <v>202.08</v>
      </c>
      <c r="G18" s="41">
        <v>203.3</v>
      </c>
      <c r="H18" s="114">
        <v>39.48</v>
      </c>
      <c r="I18" s="43">
        <v>38</v>
      </c>
      <c r="J18" s="114">
        <v>90.24</v>
      </c>
      <c r="K18" s="43">
        <v>96.1</v>
      </c>
      <c r="L18" s="38">
        <v>19.56</v>
      </c>
      <c r="M18" s="43">
        <v>17.8</v>
      </c>
      <c r="N18" s="38">
        <v>94.11</v>
      </c>
      <c r="O18" s="43">
        <v>58.2</v>
      </c>
      <c r="P18" s="38">
        <v>160</v>
      </c>
      <c r="Q18" s="43">
        <v>76.3</v>
      </c>
      <c r="R18" s="38">
        <v>124.23</v>
      </c>
      <c r="S18" s="43">
        <v>50.5</v>
      </c>
      <c r="T18" s="38"/>
      <c r="U18" s="43"/>
    </row>
    <row r="19" spans="1:21" s="1" customFormat="1" ht="15.75" thickBot="1">
      <c r="A19" s="2" t="s">
        <v>21</v>
      </c>
      <c r="B19" s="37">
        <f aca="true" t="shared" si="0" ref="B19:G19">SUM(B7:B18)</f>
        <v>49.269999999999996</v>
      </c>
      <c r="C19" s="52">
        <f t="shared" si="0"/>
        <v>95.5</v>
      </c>
      <c r="D19" s="93">
        <f t="shared" si="0"/>
        <v>336.68</v>
      </c>
      <c r="E19" s="94">
        <f t="shared" si="0"/>
        <v>508.8</v>
      </c>
      <c r="F19" s="93">
        <f t="shared" si="0"/>
        <v>537.82</v>
      </c>
      <c r="G19" s="94">
        <f t="shared" si="0"/>
        <v>509.2</v>
      </c>
      <c r="H19" s="117">
        <f aca="true" t="shared" si="1" ref="H19:M19">SUM(H7:H18)</f>
        <v>456.29</v>
      </c>
      <c r="I19" s="52">
        <f t="shared" si="1"/>
        <v>445</v>
      </c>
      <c r="J19" s="117">
        <f t="shared" si="1"/>
        <v>451.73</v>
      </c>
      <c r="K19" s="52">
        <f t="shared" si="1"/>
        <v>781.59</v>
      </c>
      <c r="L19" s="133">
        <f t="shared" si="1"/>
        <v>634.3799999999999</v>
      </c>
      <c r="M19" s="89">
        <f t="shared" si="1"/>
        <v>677.9999999999999</v>
      </c>
      <c r="N19" s="133">
        <f aca="true" t="shared" si="2" ref="N19:S19">SUM(N7:N18)</f>
        <v>487.31</v>
      </c>
      <c r="O19" s="89">
        <f t="shared" si="2"/>
        <v>388.2</v>
      </c>
      <c r="P19" s="133">
        <f t="shared" si="2"/>
        <v>813.06</v>
      </c>
      <c r="Q19" s="89">
        <f t="shared" si="2"/>
        <v>434.90000000000003</v>
      </c>
      <c r="R19" s="133">
        <f t="shared" si="2"/>
        <v>1091.48</v>
      </c>
      <c r="S19" s="89">
        <f t="shared" si="2"/>
        <v>476.99999999999994</v>
      </c>
      <c r="T19" s="133">
        <f>SUM(T7:T18)</f>
        <v>544.89</v>
      </c>
      <c r="U19" s="89">
        <f>SUM(U7:U18)</f>
        <v>221.5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2:U27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A36" sqref="A36"/>
    </sheetView>
  </sheetViews>
  <sheetFormatPr defaultColWidth="11.5546875" defaultRowHeight="15"/>
  <cols>
    <col min="1" max="1" width="14.3359375" style="125" bestFit="1" customWidth="1"/>
    <col min="2" max="2" width="9.6640625" style="8" customWidth="1"/>
    <col min="3" max="3" width="10.3359375" style="0" customWidth="1"/>
    <col min="4" max="4" width="8.88671875" style="8" customWidth="1"/>
    <col min="5" max="16384" width="8.6640625" style="0" customWidth="1"/>
  </cols>
  <sheetData>
    <row r="2" ht="15.75" thickBot="1">
      <c r="A2" s="170" t="s">
        <v>32</v>
      </c>
    </row>
    <row r="3" spans="1:21" s="23" customFormat="1" ht="16.5">
      <c r="A3" s="169"/>
      <c r="B3" s="26">
        <v>1998</v>
      </c>
      <c r="C3" s="28"/>
      <c r="D3" s="26">
        <v>1999</v>
      </c>
      <c r="E3" s="28"/>
      <c r="F3" s="26">
        <v>2000</v>
      </c>
      <c r="G3" s="28"/>
      <c r="H3" s="26">
        <v>2001</v>
      </c>
      <c r="I3" s="28"/>
      <c r="J3" s="26">
        <v>2002</v>
      </c>
      <c r="K3" s="28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25" customFormat="1" ht="15">
      <c r="A4" s="126"/>
      <c r="B4" s="29" t="s">
        <v>5</v>
      </c>
      <c r="C4" s="31"/>
      <c r="D4" s="29" t="s">
        <v>5</v>
      </c>
      <c r="E4" s="31"/>
      <c r="F4" s="29" t="s">
        <v>5</v>
      </c>
      <c r="G4" s="31"/>
      <c r="H4" s="80" t="s">
        <v>5</v>
      </c>
      <c r="I4" s="31"/>
      <c r="J4" s="80" t="s">
        <v>5</v>
      </c>
      <c r="K4" s="31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25" customFormat="1" ht="15">
      <c r="A5" s="126" t="s">
        <v>22</v>
      </c>
      <c r="B5" s="29" t="s">
        <v>8</v>
      </c>
      <c r="C5" s="31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80" t="s">
        <v>8</v>
      </c>
      <c r="I5" s="31" t="s">
        <v>7</v>
      </c>
      <c r="J5" s="80" t="s">
        <v>8</v>
      </c>
      <c r="K5" s="31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127"/>
      <c r="B6" s="32"/>
      <c r="C6" s="34"/>
      <c r="D6" s="32"/>
      <c r="E6" s="34"/>
      <c r="F6" s="32"/>
      <c r="G6" s="34"/>
      <c r="H6" s="81"/>
      <c r="I6" s="34"/>
      <c r="J6" s="81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128" t="s">
        <v>9</v>
      </c>
      <c r="B7" s="35"/>
      <c r="C7" s="43"/>
      <c r="D7" s="38">
        <v>27.04</v>
      </c>
      <c r="E7" s="41">
        <v>50.6</v>
      </c>
      <c r="F7" s="38">
        <v>86.52</v>
      </c>
      <c r="G7" s="41">
        <v>99.1</v>
      </c>
      <c r="H7" s="82">
        <v>38.77</v>
      </c>
      <c r="I7" s="83">
        <v>39</v>
      </c>
      <c r="J7" s="82">
        <v>87.59</v>
      </c>
      <c r="K7" s="83">
        <v>84.3</v>
      </c>
      <c r="L7" s="38">
        <v>57.65</v>
      </c>
      <c r="M7" s="43">
        <v>61.4</v>
      </c>
      <c r="N7" s="38">
        <v>72.09</v>
      </c>
      <c r="O7" s="43">
        <v>65.6</v>
      </c>
      <c r="P7" s="38">
        <v>151.35</v>
      </c>
      <c r="Q7" s="43">
        <v>93.6</v>
      </c>
      <c r="R7" s="38">
        <v>95.2</v>
      </c>
      <c r="S7" s="43">
        <v>45.4</v>
      </c>
      <c r="T7" s="38">
        <v>190.4</v>
      </c>
      <c r="U7" s="43">
        <v>77.4</v>
      </c>
    </row>
    <row r="8" spans="1:21" ht="15">
      <c r="A8" s="128" t="s">
        <v>10</v>
      </c>
      <c r="B8" s="35"/>
      <c r="C8" s="43"/>
      <c r="D8" s="38">
        <v>75.12</v>
      </c>
      <c r="E8" s="41">
        <v>120.5</v>
      </c>
      <c r="F8" s="38">
        <v>102.13</v>
      </c>
      <c r="G8" s="41">
        <v>73.8</v>
      </c>
      <c r="H8" s="84"/>
      <c r="I8" s="43"/>
      <c r="J8" s="84">
        <v>42.7</v>
      </c>
      <c r="K8" s="43">
        <v>41.1</v>
      </c>
      <c r="L8" s="38">
        <v>83.38</v>
      </c>
      <c r="M8" s="43">
        <v>88.8</v>
      </c>
      <c r="N8" s="38">
        <v>87.26</v>
      </c>
      <c r="O8" s="43">
        <v>79.4</v>
      </c>
      <c r="P8" s="38">
        <v>126.29</v>
      </c>
      <c r="Q8" s="43">
        <v>78.1</v>
      </c>
      <c r="R8" s="38"/>
      <c r="S8" s="43"/>
      <c r="T8" s="38">
        <v>243.29</v>
      </c>
      <c r="U8" s="43">
        <v>98.9</v>
      </c>
    </row>
    <row r="9" spans="1:21" ht="15">
      <c r="A9" s="128" t="s">
        <v>11</v>
      </c>
      <c r="B9" s="35"/>
      <c r="C9" s="43"/>
      <c r="D9" s="38"/>
      <c r="E9" s="41"/>
      <c r="F9" s="38">
        <v>0</v>
      </c>
      <c r="G9" s="41">
        <v>0</v>
      </c>
      <c r="H9" s="84">
        <v>86.48</v>
      </c>
      <c r="I9" s="43">
        <v>87</v>
      </c>
      <c r="J9" s="84">
        <v>0</v>
      </c>
      <c r="K9" s="43">
        <v>0</v>
      </c>
      <c r="L9" s="38"/>
      <c r="M9" s="43"/>
      <c r="N9" s="38"/>
      <c r="O9" s="43"/>
      <c r="P9" s="38"/>
      <c r="Q9" s="43"/>
      <c r="R9" s="38">
        <v>123.09</v>
      </c>
      <c r="S9" s="43">
        <v>58.7</v>
      </c>
      <c r="T9" s="38">
        <v>193.6</v>
      </c>
      <c r="U9" s="43">
        <v>78.7</v>
      </c>
    </row>
    <row r="10" spans="1:21" ht="15">
      <c r="A10" s="128" t="s">
        <v>23</v>
      </c>
      <c r="B10" s="35"/>
      <c r="C10" s="43"/>
      <c r="D10" s="38"/>
      <c r="E10" s="41"/>
      <c r="F10" s="38">
        <v>0</v>
      </c>
      <c r="G10" s="41">
        <v>0</v>
      </c>
      <c r="H10" s="84"/>
      <c r="I10" s="43"/>
      <c r="J10" s="84">
        <v>68.57</v>
      </c>
      <c r="K10" s="43">
        <v>66</v>
      </c>
      <c r="L10" s="38">
        <v>77.47</v>
      </c>
      <c r="M10" s="43">
        <v>82.5</v>
      </c>
      <c r="N10" s="38">
        <v>101.88</v>
      </c>
      <c r="O10" s="43">
        <v>92.7</v>
      </c>
      <c r="P10" s="38">
        <v>101.23</v>
      </c>
      <c r="Q10" s="43">
        <v>62.6</v>
      </c>
      <c r="R10" s="38"/>
      <c r="S10" s="43"/>
      <c r="T10" s="38"/>
      <c r="U10" s="43"/>
    </row>
    <row r="11" spans="1:21" ht="15">
      <c r="A11" s="128" t="s">
        <v>13</v>
      </c>
      <c r="B11" s="35"/>
      <c r="C11" s="43"/>
      <c r="D11" s="38"/>
      <c r="E11" s="41"/>
      <c r="F11" s="38">
        <v>139.3</v>
      </c>
      <c r="G11" s="41">
        <v>147.5</v>
      </c>
      <c r="H11" s="84"/>
      <c r="I11" s="43"/>
      <c r="J11" s="84">
        <v>42.08</v>
      </c>
      <c r="K11" s="43">
        <v>40.5</v>
      </c>
      <c r="L11" s="38"/>
      <c r="M11" s="43"/>
      <c r="N11" s="38"/>
      <c r="O11" s="43"/>
      <c r="P11" s="38"/>
      <c r="Q11" s="43"/>
      <c r="R11" s="38">
        <v>95.62</v>
      </c>
      <c r="S11" s="43">
        <v>45.6</v>
      </c>
      <c r="T11" s="38"/>
      <c r="U11" s="43"/>
    </row>
    <row r="12" spans="1:21" ht="15">
      <c r="A12" s="128" t="s">
        <v>14</v>
      </c>
      <c r="B12" s="35"/>
      <c r="C12" s="43"/>
      <c r="D12" s="38">
        <v>20.28</v>
      </c>
      <c r="E12" s="41">
        <v>34.4</v>
      </c>
      <c r="F12" s="38">
        <v>12.86</v>
      </c>
      <c r="G12" s="41">
        <v>13.4</v>
      </c>
      <c r="H12" s="84">
        <v>68.37</v>
      </c>
      <c r="I12" s="43">
        <v>65.8</v>
      </c>
      <c r="J12" s="84">
        <v>31.36</v>
      </c>
      <c r="K12" s="43">
        <v>33.4</v>
      </c>
      <c r="L12" s="38">
        <v>40.33</v>
      </c>
      <c r="M12" s="43">
        <v>36.7</v>
      </c>
      <c r="N12" s="38">
        <v>48.25</v>
      </c>
      <c r="O12" s="43">
        <v>43.9</v>
      </c>
      <c r="P12" s="38">
        <v>35.09</v>
      </c>
      <c r="Q12" s="43">
        <v>21.7</v>
      </c>
      <c r="R12" s="38">
        <v>20.13</v>
      </c>
      <c r="S12" s="43">
        <v>9.6</v>
      </c>
      <c r="T12" s="38"/>
      <c r="U12" s="43"/>
    </row>
    <row r="13" spans="1:21" ht="15">
      <c r="A13" s="128" t="s">
        <v>15</v>
      </c>
      <c r="B13" s="35"/>
      <c r="C13" s="43"/>
      <c r="D13" s="38"/>
      <c r="E13" s="41"/>
      <c r="F13" s="38">
        <v>0</v>
      </c>
      <c r="G13" s="41">
        <v>0</v>
      </c>
      <c r="H13" s="84"/>
      <c r="I13" s="43"/>
      <c r="J13" s="84">
        <v>0</v>
      </c>
      <c r="K13" s="43">
        <v>0</v>
      </c>
      <c r="L13" s="38"/>
      <c r="M13" s="43"/>
      <c r="N13" s="38"/>
      <c r="O13" s="43"/>
      <c r="P13" s="38"/>
      <c r="Q13" s="43"/>
      <c r="R13" s="38"/>
      <c r="S13" s="43"/>
      <c r="T13" s="38"/>
      <c r="U13" s="43"/>
    </row>
    <row r="14" spans="1:21" ht="15">
      <c r="A14" s="128" t="s">
        <v>16</v>
      </c>
      <c r="B14" s="35"/>
      <c r="C14" s="43"/>
      <c r="D14" s="38">
        <v>10.2</v>
      </c>
      <c r="E14" s="41">
        <v>13.9</v>
      </c>
      <c r="F14" s="38">
        <v>13.62</v>
      </c>
      <c r="G14" s="41">
        <v>13.7</v>
      </c>
      <c r="H14" s="84">
        <v>15.27</v>
      </c>
      <c r="I14" s="43">
        <v>14.7</v>
      </c>
      <c r="J14" s="84">
        <v>0</v>
      </c>
      <c r="K14" s="43">
        <v>0</v>
      </c>
      <c r="L14" s="38"/>
      <c r="M14" s="43"/>
      <c r="N14" s="38">
        <v>16.16</v>
      </c>
      <c r="O14" s="43">
        <v>14.7</v>
      </c>
      <c r="P14" s="38">
        <v>42.99</v>
      </c>
      <c r="Q14" s="43">
        <v>20.5</v>
      </c>
      <c r="R14" s="38">
        <v>41.57</v>
      </c>
      <c r="S14" s="43">
        <v>16.9</v>
      </c>
      <c r="T14" s="38"/>
      <c r="U14" s="43"/>
    </row>
    <row r="15" spans="1:21" ht="15">
      <c r="A15" s="128" t="s">
        <v>17</v>
      </c>
      <c r="B15" s="35"/>
      <c r="C15" s="43"/>
      <c r="D15" s="38"/>
      <c r="E15" s="41"/>
      <c r="F15" s="38">
        <v>0</v>
      </c>
      <c r="G15" s="41">
        <v>0</v>
      </c>
      <c r="H15" s="84"/>
      <c r="I15" s="43"/>
      <c r="J15" s="84">
        <v>0</v>
      </c>
      <c r="K15" s="43">
        <v>0</v>
      </c>
      <c r="L15" s="38">
        <v>21.65</v>
      </c>
      <c r="M15" s="43">
        <v>19.7</v>
      </c>
      <c r="N15" s="38"/>
      <c r="O15" s="43"/>
      <c r="P15" s="38"/>
      <c r="Q15" s="43"/>
      <c r="R15" s="38"/>
      <c r="S15" s="43"/>
      <c r="T15" s="38"/>
      <c r="U15" s="43"/>
    </row>
    <row r="16" spans="1:21" ht="15">
      <c r="A16" s="128" t="s">
        <v>18</v>
      </c>
      <c r="B16" s="35"/>
      <c r="C16" s="43"/>
      <c r="D16" s="38"/>
      <c r="E16" s="41"/>
      <c r="F16" s="38">
        <v>0</v>
      </c>
      <c r="G16" s="41">
        <v>0</v>
      </c>
      <c r="H16" s="84"/>
      <c r="I16" s="43"/>
      <c r="J16" s="84">
        <v>0</v>
      </c>
      <c r="K16" s="43">
        <v>0</v>
      </c>
      <c r="L16" s="38"/>
      <c r="M16" s="43"/>
      <c r="N16" s="38"/>
      <c r="O16" s="43"/>
      <c r="P16" s="38"/>
      <c r="Q16" s="43"/>
      <c r="R16" s="38">
        <v>243.05</v>
      </c>
      <c r="S16" s="43">
        <v>98.8</v>
      </c>
      <c r="T16" s="38"/>
      <c r="U16" s="43"/>
    </row>
    <row r="17" spans="1:21" ht="15">
      <c r="A17" s="128" t="s">
        <v>19</v>
      </c>
      <c r="B17" s="35">
        <v>137.57</v>
      </c>
      <c r="C17" s="43">
        <v>247.7</v>
      </c>
      <c r="D17" s="38">
        <v>44</v>
      </c>
      <c r="E17" s="41">
        <v>34.42</v>
      </c>
      <c r="F17" s="38">
        <v>42.34</v>
      </c>
      <c r="G17" s="41">
        <v>42.6</v>
      </c>
      <c r="H17" s="84">
        <v>30.34</v>
      </c>
      <c r="I17" s="43">
        <v>29.2</v>
      </c>
      <c r="J17" s="84">
        <v>44.51</v>
      </c>
      <c r="K17" s="43">
        <v>47.4</v>
      </c>
      <c r="L17" s="38">
        <v>76.93</v>
      </c>
      <c r="M17" s="43">
        <v>70</v>
      </c>
      <c r="N17" s="38">
        <v>72.12</v>
      </c>
      <c r="O17" s="43">
        <v>44.6</v>
      </c>
      <c r="P17" s="38">
        <v>107.79</v>
      </c>
      <c r="Q17" s="43">
        <v>51.4</v>
      </c>
      <c r="R17" s="38"/>
      <c r="S17" s="43"/>
      <c r="T17" s="38"/>
      <c r="U17" s="43"/>
    </row>
    <row r="18" spans="1:21" ht="15.75" thickBot="1">
      <c r="A18" s="128" t="s">
        <v>20</v>
      </c>
      <c r="B18" s="99">
        <v>25.38</v>
      </c>
      <c r="C18" s="86">
        <v>51.2</v>
      </c>
      <c r="D18" s="38">
        <v>117.94</v>
      </c>
      <c r="E18" s="41">
        <v>140.5</v>
      </c>
      <c r="F18" s="38">
        <v>55.76</v>
      </c>
      <c r="G18" s="41">
        <v>56.1</v>
      </c>
      <c r="H18" s="84">
        <v>30.34</v>
      </c>
      <c r="I18" s="43">
        <v>29.2</v>
      </c>
      <c r="J18" s="84">
        <v>53.52</v>
      </c>
      <c r="K18" s="43">
        <v>57</v>
      </c>
      <c r="L18" s="38">
        <v>98.14</v>
      </c>
      <c r="M18" s="43">
        <v>89.3</v>
      </c>
      <c r="N18" s="38">
        <v>97.51</v>
      </c>
      <c r="O18" s="43">
        <v>60.3</v>
      </c>
      <c r="P18" s="38">
        <v>144.69</v>
      </c>
      <c r="Q18" s="43">
        <v>69</v>
      </c>
      <c r="R18" s="38">
        <v>327.18</v>
      </c>
      <c r="S18" s="43">
        <v>133</v>
      </c>
      <c r="T18" s="38"/>
      <c r="U18" s="43"/>
    </row>
    <row r="19" spans="1:21" s="1" customFormat="1" ht="15.75" thickBot="1">
      <c r="A19" s="128" t="s">
        <v>21</v>
      </c>
      <c r="B19" s="37">
        <f aca="true" t="shared" si="0" ref="B19:G19">SUM(B7:B18)</f>
        <v>162.95</v>
      </c>
      <c r="C19" s="52">
        <f t="shared" si="0"/>
        <v>298.9</v>
      </c>
      <c r="D19" s="93">
        <f t="shared" si="0"/>
        <v>294.58</v>
      </c>
      <c r="E19" s="94">
        <f t="shared" si="0"/>
        <v>394.32</v>
      </c>
      <c r="F19" s="93">
        <f t="shared" si="0"/>
        <v>452.53</v>
      </c>
      <c r="G19" s="94">
        <f t="shared" si="0"/>
        <v>446.2</v>
      </c>
      <c r="H19" s="92">
        <f aca="true" t="shared" si="1" ref="H19:M19">SUM(H7:H18)</f>
        <v>269.57</v>
      </c>
      <c r="I19" s="52">
        <f t="shared" si="1"/>
        <v>264.9</v>
      </c>
      <c r="J19" s="92">
        <f t="shared" si="1"/>
        <v>370.33</v>
      </c>
      <c r="K19" s="52">
        <f t="shared" si="1"/>
        <v>369.7</v>
      </c>
      <c r="L19" s="133">
        <f t="shared" si="1"/>
        <v>455.54999999999995</v>
      </c>
      <c r="M19" s="89">
        <f t="shared" si="1"/>
        <v>448.4</v>
      </c>
      <c r="N19" s="133">
        <f aca="true" t="shared" si="2" ref="N19:S19">SUM(N7:N18)</f>
        <v>495.27000000000004</v>
      </c>
      <c r="O19" s="168">
        <f t="shared" si="2"/>
        <v>401.2</v>
      </c>
      <c r="P19" s="133">
        <f t="shared" si="2"/>
        <v>709.4300000000001</v>
      </c>
      <c r="Q19" s="168">
        <f t="shared" si="2"/>
        <v>396.9</v>
      </c>
      <c r="R19" s="133">
        <f t="shared" si="2"/>
        <v>945.8400000000001</v>
      </c>
      <c r="S19" s="168">
        <f t="shared" si="2"/>
        <v>408</v>
      </c>
      <c r="T19" s="133">
        <f>SUM(T7:T18)</f>
        <v>627.29</v>
      </c>
      <c r="U19" s="168">
        <f>SUM(U7:U18)</f>
        <v>255</v>
      </c>
    </row>
    <row r="27" ht="15">
      <c r="C27" s="57"/>
    </row>
  </sheetData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2:U27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7" sqref="T7:U7"/>
    </sheetView>
  </sheetViews>
  <sheetFormatPr defaultColWidth="11.5546875" defaultRowHeight="15"/>
  <cols>
    <col min="1" max="1" width="14.3359375" style="3" bestFit="1" customWidth="1"/>
    <col min="2" max="2" width="9.6640625" style="8" customWidth="1"/>
    <col min="3" max="3" width="9.6640625" style="0" bestFit="1" customWidth="1"/>
    <col min="4" max="4" width="8.88671875" style="8" customWidth="1"/>
    <col min="5" max="16384" width="8.6640625" style="0" customWidth="1"/>
  </cols>
  <sheetData>
    <row r="2" ht="15.75" thickBot="1">
      <c r="A2" s="153" t="s">
        <v>28</v>
      </c>
    </row>
    <row r="3" spans="1:21" s="23" customFormat="1" ht="16.5">
      <c r="A3" s="167"/>
      <c r="B3" s="26">
        <v>1998</v>
      </c>
      <c r="C3" s="28"/>
      <c r="D3" s="26">
        <v>1999</v>
      </c>
      <c r="E3" s="28"/>
      <c r="F3" s="26">
        <v>2000</v>
      </c>
      <c r="G3" s="28"/>
      <c r="H3" s="26">
        <v>2001</v>
      </c>
      <c r="I3" s="28"/>
      <c r="J3" s="26">
        <v>2002</v>
      </c>
      <c r="K3" s="28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25" customFormat="1" ht="15">
      <c r="A4" s="24"/>
      <c r="B4" s="29" t="s">
        <v>5</v>
      </c>
      <c r="C4" s="31"/>
      <c r="D4" s="29" t="s">
        <v>5</v>
      </c>
      <c r="E4" s="31"/>
      <c r="F4" s="29" t="s">
        <v>5</v>
      </c>
      <c r="G4" s="31"/>
      <c r="H4" s="80" t="s">
        <v>5</v>
      </c>
      <c r="I4" s="31"/>
      <c r="J4" s="80" t="s">
        <v>5</v>
      </c>
      <c r="K4" s="31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25" customFormat="1" ht="15">
      <c r="A5" s="24" t="s">
        <v>22</v>
      </c>
      <c r="B5" s="29" t="s">
        <v>8</v>
      </c>
      <c r="C5" s="31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80" t="s">
        <v>8</v>
      </c>
      <c r="I5" s="31" t="s">
        <v>7</v>
      </c>
      <c r="J5" s="80" t="s">
        <v>8</v>
      </c>
      <c r="K5" s="31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32"/>
      <c r="C6" s="34"/>
      <c r="D6" s="32"/>
      <c r="E6" s="34"/>
      <c r="F6" s="32"/>
      <c r="G6" s="34"/>
      <c r="H6" s="81"/>
      <c r="I6" s="34"/>
      <c r="J6" s="81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/>
      <c r="C7" s="43"/>
      <c r="D7" s="38">
        <v>0</v>
      </c>
      <c r="E7" s="41">
        <v>0</v>
      </c>
      <c r="F7" s="38">
        <v>76.53</v>
      </c>
      <c r="G7" s="41">
        <v>80</v>
      </c>
      <c r="H7" s="97">
        <v>200.59</v>
      </c>
      <c r="I7" s="43">
        <v>201.8</v>
      </c>
      <c r="J7" s="97">
        <v>0</v>
      </c>
      <c r="K7" s="43">
        <v>0</v>
      </c>
      <c r="L7" s="38">
        <v>184.07</v>
      </c>
      <c r="M7" s="43">
        <v>171.52</v>
      </c>
      <c r="N7" s="38">
        <v>263.98</v>
      </c>
      <c r="O7" s="43">
        <v>222</v>
      </c>
      <c r="P7" s="38"/>
      <c r="Q7" s="43"/>
      <c r="R7" s="38">
        <v>474</v>
      </c>
      <c r="S7" s="43">
        <v>216.5</v>
      </c>
      <c r="T7" s="38"/>
      <c r="U7" s="43"/>
    </row>
    <row r="8" spans="1:21" ht="15">
      <c r="A8" s="2" t="s">
        <v>10</v>
      </c>
      <c r="B8" s="35"/>
      <c r="C8" s="43"/>
      <c r="D8" s="38">
        <v>0</v>
      </c>
      <c r="E8" s="41">
        <v>0</v>
      </c>
      <c r="F8" s="38">
        <v>0</v>
      </c>
      <c r="G8" s="41">
        <v>0</v>
      </c>
      <c r="H8" s="90"/>
      <c r="I8" s="43"/>
      <c r="J8" s="90">
        <v>0</v>
      </c>
      <c r="K8" s="43">
        <v>0</v>
      </c>
      <c r="L8" s="38">
        <v>93.9</v>
      </c>
      <c r="M8" s="43">
        <v>100</v>
      </c>
      <c r="N8" s="38"/>
      <c r="O8" s="43"/>
      <c r="P8" s="38">
        <v>397.14</v>
      </c>
      <c r="Q8" s="43">
        <v>232</v>
      </c>
      <c r="R8" s="38"/>
      <c r="S8" s="43"/>
      <c r="T8" s="38">
        <v>541.69</v>
      </c>
      <c r="U8" s="43">
        <v>220.2</v>
      </c>
    </row>
    <row r="9" spans="1:21" ht="15">
      <c r="A9" s="2" t="s">
        <v>11</v>
      </c>
      <c r="B9" s="35"/>
      <c r="C9" s="43"/>
      <c r="D9" s="38"/>
      <c r="E9" s="41"/>
      <c r="F9" s="38"/>
      <c r="G9" s="41"/>
      <c r="H9" s="90">
        <v>320.46</v>
      </c>
      <c r="I9" s="43">
        <v>322.4</v>
      </c>
      <c r="J9" s="90">
        <v>0</v>
      </c>
      <c r="K9" s="43">
        <v>0</v>
      </c>
      <c r="L9" s="38"/>
      <c r="M9" s="43"/>
      <c r="N9" s="38"/>
      <c r="O9" s="43"/>
      <c r="P9" s="38"/>
      <c r="Q9" s="43"/>
      <c r="R9" s="38"/>
      <c r="S9" s="43"/>
      <c r="T9" s="38"/>
      <c r="U9" s="43"/>
    </row>
    <row r="10" spans="1:21" ht="15">
      <c r="A10" s="2" t="s">
        <v>23</v>
      </c>
      <c r="B10" s="35"/>
      <c r="C10" s="43"/>
      <c r="D10" s="38"/>
      <c r="E10" s="41"/>
      <c r="F10" s="38"/>
      <c r="G10" s="41"/>
      <c r="H10" s="90"/>
      <c r="I10" s="43"/>
      <c r="J10" s="90">
        <v>0</v>
      </c>
      <c r="K10" s="43">
        <v>0</v>
      </c>
      <c r="L10" s="38"/>
      <c r="M10" s="43"/>
      <c r="N10" s="38"/>
      <c r="O10" s="43"/>
      <c r="P10" s="38"/>
      <c r="Q10" s="43"/>
      <c r="R10" s="38"/>
      <c r="S10" s="43"/>
      <c r="T10" s="38"/>
      <c r="U10" s="43"/>
    </row>
    <row r="11" spans="1:21" ht="15">
      <c r="A11" s="2" t="s">
        <v>13</v>
      </c>
      <c r="B11" s="35"/>
      <c r="C11" s="43"/>
      <c r="D11" s="38"/>
      <c r="E11" s="41"/>
      <c r="F11" s="38"/>
      <c r="G11" s="41"/>
      <c r="H11" s="90"/>
      <c r="I11" s="43"/>
      <c r="J11" s="90">
        <v>0</v>
      </c>
      <c r="K11" s="43">
        <v>0</v>
      </c>
      <c r="L11" s="38"/>
      <c r="M11" s="43"/>
      <c r="N11" s="38"/>
      <c r="O11" s="43"/>
      <c r="P11" s="38">
        <v>242.55</v>
      </c>
      <c r="Q11" s="43">
        <v>150</v>
      </c>
      <c r="R11" s="38"/>
      <c r="S11" s="43"/>
      <c r="T11" s="38"/>
      <c r="U11" s="43"/>
    </row>
    <row r="12" spans="1:21" ht="15">
      <c r="A12" s="2" t="s">
        <v>14</v>
      </c>
      <c r="B12" s="35"/>
      <c r="C12" s="43"/>
      <c r="D12" s="38">
        <v>16.38</v>
      </c>
      <c r="E12" s="41">
        <v>24.9</v>
      </c>
      <c r="F12" s="38">
        <v>0</v>
      </c>
      <c r="G12" s="41">
        <v>0</v>
      </c>
      <c r="H12" s="90"/>
      <c r="I12" s="43"/>
      <c r="J12" s="90">
        <v>0</v>
      </c>
      <c r="K12" s="43">
        <v>0</v>
      </c>
      <c r="L12" s="38"/>
      <c r="M12" s="43"/>
      <c r="N12" s="38"/>
      <c r="O12" s="43"/>
      <c r="P12" s="38"/>
      <c r="Q12" s="43"/>
      <c r="R12" s="38"/>
      <c r="S12" s="43"/>
      <c r="T12" s="38"/>
      <c r="U12" s="43"/>
    </row>
    <row r="13" spans="1:21" ht="15">
      <c r="A13" s="2" t="s">
        <v>15</v>
      </c>
      <c r="B13" s="35"/>
      <c r="C13" s="43"/>
      <c r="D13" s="38"/>
      <c r="E13" s="41"/>
      <c r="F13" s="38"/>
      <c r="G13" s="41"/>
      <c r="H13" s="90"/>
      <c r="I13" s="43"/>
      <c r="J13" s="90">
        <v>0</v>
      </c>
      <c r="K13" s="43">
        <v>0</v>
      </c>
      <c r="L13" s="38">
        <v>235.19</v>
      </c>
      <c r="M13" s="43">
        <v>214</v>
      </c>
      <c r="N13" s="38"/>
      <c r="O13" s="43"/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/>
      <c r="C14" s="43"/>
      <c r="D14" s="38"/>
      <c r="E14" s="41"/>
      <c r="F14" s="38"/>
      <c r="G14" s="41"/>
      <c r="H14" s="90">
        <v>208.63</v>
      </c>
      <c r="I14" s="43">
        <v>200.8</v>
      </c>
      <c r="J14" s="90">
        <v>0</v>
      </c>
      <c r="K14" s="43">
        <v>0</v>
      </c>
      <c r="L14" s="38"/>
      <c r="M14" s="43"/>
      <c r="N14" s="38"/>
      <c r="O14" s="43"/>
      <c r="P14" s="38"/>
      <c r="Q14" s="43"/>
      <c r="R14" s="38"/>
      <c r="S14" s="43"/>
      <c r="T14" s="38"/>
      <c r="U14" s="43"/>
    </row>
    <row r="15" spans="1:21" ht="15">
      <c r="A15" s="2" t="s">
        <v>17</v>
      </c>
      <c r="B15" s="35"/>
      <c r="C15" s="43"/>
      <c r="D15" s="38"/>
      <c r="E15" s="41"/>
      <c r="F15" s="38"/>
      <c r="G15" s="41"/>
      <c r="H15" s="90"/>
      <c r="I15" s="43"/>
      <c r="J15" s="90">
        <v>0</v>
      </c>
      <c r="K15" s="43">
        <v>0</v>
      </c>
      <c r="L15" s="38"/>
      <c r="M15" s="43"/>
      <c r="N15" s="38"/>
      <c r="O15" s="43"/>
      <c r="P15" s="38"/>
      <c r="Q15" s="43"/>
      <c r="R15" s="38"/>
      <c r="S15" s="43"/>
      <c r="T15" s="38"/>
      <c r="U15" s="43"/>
    </row>
    <row r="16" spans="1:21" ht="15">
      <c r="A16" s="2" t="s">
        <v>18</v>
      </c>
      <c r="B16" s="35"/>
      <c r="C16" s="43"/>
      <c r="D16" s="38"/>
      <c r="E16" s="41"/>
      <c r="F16" s="38">
        <v>40.06</v>
      </c>
      <c r="G16" s="41">
        <v>40.3</v>
      </c>
      <c r="H16" s="90"/>
      <c r="I16" s="43"/>
      <c r="J16" s="90">
        <v>136.68</v>
      </c>
      <c r="K16" s="43">
        <v>120</v>
      </c>
      <c r="L16" s="38"/>
      <c r="M16" s="43"/>
      <c r="N16" s="38"/>
      <c r="O16" s="43"/>
      <c r="P16" s="38"/>
      <c r="Q16" s="43"/>
      <c r="R16" s="38"/>
      <c r="S16" s="43"/>
      <c r="T16" s="38"/>
      <c r="U16" s="43"/>
    </row>
    <row r="17" spans="1:21" ht="15">
      <c r="A17" s="2" t="s">
        <v>19</v>
      </c>
      <c r="B17" s="35">
        <v>0</v>
      </c>
      <c r="C17" s="43">
        <v>0</v>
      </c>
      <c r="D17" s="38"/>
      <c r="E17" s="41"/>
      <c r="F17" s="38">
        <v>46.1</v>
      </c>
      <c r="G17" s="41">
        <v>40.3</v>
      </c>
      <c r="H17" s="90"/>
      <c r="I17" s="43"/>
      <c r="J17" s="90">
        <v>0</v>
      </c>
      <c r="K17" s="43">
        <v>0</v>
      </c>
      <c r="L17" s="38"/>
      <c r="M17" s="43"/>
      <c r="N17" s="38"/>
      <c r="O17" s="43"/>
      <c r="P17" s="38"/>
      <c r="Q17" s="43"/>
      <c r="R17" s="38"/>
      <c r="S17" s="43"/>
      <c r="T17" s="38"/>
      <c r="U17" s="43"/>
    </row>
    <row r="18" spans="1:21" ht="15.75" thickBot="1">
      <c r="A18" s="2" t="s">
        <v>20</v>
      </c>
      <c r="B18" s="99">
        <v>0</v>
      </c>
      <c r="C18" s="86">
        <v>0</v>
      </c>
      <c r="D18" s="38">
        <v>0</v>
      </c>
      <c r="E18" s="41">
        <v>0</v>
      </c>
      <c r="F18" s="38"/>
      <c r="G18" s="41"/>
      <c r="H18" s="90"/>
      <c r="I18" s="43"/>
      <c r="J18" s="90">
        <v>0</v>
      </c>
      <c r="K18" s="43">
        <v>0</v>
      </c>
      <c r="L18" s="38">
        <v>241.53</v>
      </c>
      <c r="M18" s="43">
        <v>201.5</v>
      </c>
      <c r="N18" s="38">
        <f>218.04+90.55</f>
        <v>308.59</v>
      </c>
      <c r="O18" s="43">
        <f>120+56</f>
        <v>176</v>
      </c>
      <c r="P18" s="38"/>
      <c r="Q18" s="43"/>
      <c r="R18" s="38"/>
      <c r="S18" s="43"/>
      <c r="T18" s="38"/>
      <c r="U18" s="43"/>
    </row>
    <row r="19" spans="1:21" s="1" customFormat="1" ht="15.75" thickBot="1">
      <c r="A19" s="2" t="s">
        <v>21</v>
      </c>
      <c r="B19" s="37">
        <f aca="true" t="shared" si="0" ref="B19:G19">SUM(B7:B18)</f>
        <v>0</v>
      </c>
      <c r="C19" s="52">
        <f t="shared" si="0"/>
        <v>0</v>
      </c>
      <c r="D19" s="93">
        <f t="shared" si="0"/>
        <v>16.38</v>
      </c>
      <c r="E19" s="94">
        <f t="shared" si="0"/>
        <v>24.9</v>
      </c>
      <c r="F19" s="93">
        <f t="shared" si="0"/>
        <v>162.69</v>
      </c>
      <c r="G19" s="94">
        <f t="shared" si="0"/>
        <v>160.6</v>
      </c>
      <c r="H19" s="98">
        <f aca="true" t="shared" si="1" ref="H19:M19">SUM(H7:H18)</f>
        <v>729.68</v>
      </c>
      <c r="I19" s="52">
        <f t="shared" si="1"/>
        <v>725</v>
      </c>
      <c r="J19" s="98">
        <f t="shared" si="1"/>
        <v>136.68</v>
      </c>
      <c r="K19" s="52">
        <f t="shared" si="1"/>
        <v>120</v>
      </c>
      <c r="L19" s="133">
        <f t="shared" si="1"/>
        <v>754.69</v>
      </c>
      <c r="M19" s="89">
        <f t="shared" si="1"/>
        <v>687.02</v>
      </c>
      <c r="N19" s="133">
        <f aca="true" t="shared" si="2" ref="N19:S19">SUM(N7:N18)</f>
        <v>572.5699999999999</v>
      </c>
      <c r="O19" s="89">
        <f t="shared" si="2"/>
        <v>398</v>
      </c>
      <c r="P19" s="133">
        <f t="shared" si="2"/>
        <v>639.69</v>
      </c>
      <c r="Q19" s="89">
        <f t="shared" si="2"/>
        <v>382</v>
      </c>
      <c r="R19" s="133">
        <f t="shared" si="2"/>
        <v>474</v>
      </c>
      <c r="S19" s="89">
        <f t="shared" si="2"/>
        <v>216.5</v>
      </c>
      <c r="T19" s="133">
        <f>SUM(T7:T18)</f>
        <v>541.69</v>
      </c>
      <c r="U19" s="89">
        <f>SUM(U7:U18)</f>
        <v>220.2</v>
      </c>
    </row>
    <row r="27" ht="15">
      <c r="C27" s="57"/>
    </row>
  </sheetData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U19"/>
  <sheetViews>
    <sheetView zoomScale="75" zoomScaleNormal="75" workbookViewId="0" topLeftCell="A2">
      <pane xSplit="1" topLeftCell="B1" activePane="topRight" state="frozen"/>
      <selection pane="topLeft" activeCell="A1" sqref="A1"/>
      <selection pane="topRight" activeCell="V10" sqref="V10"/>
    </sheetView>
  </sheetViews>
  <sheetFormatPr defaultColWidth="11.5546875" defaultRowHeight="15"/>
  <cols>
    <col min="1" max="1" width="13.6640625" style="3" bestFit="1" customWidth="1"/>
    <col min="2" max="2" width="9.6640625" style="8" customWidth="1"/>
    <col min="3" max="3" width="10.3359375" style="0" customWidth="1"/>
    <col min="4" max="4" width="9.6640625" style="8" bestFit="1" customWidth="1"/>
    <col min="5" max="5" width="8.6640625" style="0" customWidth="1"/>
    <col min="6" max="6" width="9.6640625" style="0" bestFit="1" customWidth="1"/>
    <col min="7" max="7" width="8.6640625" style="0" customWidth="1"/>
    <col min="8" max="8" width="9.4453125" style="0" customWidth="1"/>
    <col min="9" max="9" width="8.6640625" style="0" customWidth="1"/>
    <col min="10" max="10" width="9.88671875" style="8" customWidth="1"/>
    <col min="11" max="11" width="8.6640625" style="0" customWidth="1"/>
    <col min="12" max="12" width="10.3359375" style="0" customWidth="1"/>
    <col min="13" max="13" width="8.6640625" style="0" customWidth="1"/>
    <col min="14" max="14" width="9.4453125" style="0" customWidth="1"/>
    <col min="15" max="15" width="8.6640625" style="0" customWidth="1"/>
    <col min="16" max="16" width="9.6640625" style="0" bestFit="1" customWidth="1"/>
    <col min="17" max="17" width="8.6640625" style="0" customWidth="1"/>
    <col min="18" max="18" width="10.10546875" style="0" customWidth="1"/>
    <col min="19" max="19" width="8.6640625" style="0" customWidth="1"/>
    <col min="20" max="20" width="11.88671875" style="0" customWidth="1"/>
    <col min="21" max="16384" width="8.6640625" style="0" customWidth="1"/>
  </cols>
  <sheetData>
    <row r="1" ht="15">
      <c r="A1" s="153" t="s">
        <v>29</v>
      </c>
    </row>
    <row r="2" ht="15.75" thickBot="1"/>
    <row r="3" spans="1:21" s="23" customFormat="1" ht="16.5">
      <c r="A3" s="171"/>
      <c r="B3" s="26">
        <v>1998</v>
      </c>
      <c r="C3" s="27"/>
      <c r="D3" s="26">
        <v>1999</v>
      </c>
      <c r="E3" s="28"/>
      <c r="F3" s="26">
        <v>2000</v>
      </c>
      <c r="G3" s="28"/>
      <c r="H3" s="26">
        <v>2001</v>
      </c>
      <c r="I3" s="28"/>
      <c r="J3" s="122">
        <v>2002</v>
      </c>
      <c r="K3" s="28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25" customFormat="1" ht="15">
      <c r="A4" s="24"/>
      <c r="B4" s="29" t="s">
        <v>5</v>
      </c>
      <c r="C4" s="30"/>
      <c r="D4" s="29" t="s">
        <v>5</v>
      </c>
      <c r="E4" s="31"/>
      <c r="F4" s="29" t="s">
        <v>5</v>
      </c>
      <c r="G4" s="31"/>
      <c r="H4" s="80" t="s">
        <v>5</v>
      </c>
      <c r="I4" s="31"/>
      <c r="J4" s="29" t="s">
        <v>5</v>
      </c>
      <c r="K4" s="31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25" customFormat="1" ht="15">
      <c r="A5" s="24" t="s">
        <v>22</v>
      </c>
      <c r="B5" s="29" t="s">
        <v>8</v>
      </c>
      <c r="C5" s="30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80" t="s">
        <v>8</v>
      </c>
      <c r="I5" s="31" t="s">
        <v>7</v>
      </c>
      <c r="J5" s="29" t="s">
        <v>8</v>
      </c>
      <c r="K5" s="31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32"/>
      <c r="C6" s="33"/>
      <c r="D6" s="32"/>
      <c r="E6" s="34"/>
      <c r="F6" s="32"/>
      <c r="G6" s="34"/>
      <c r="H6" s="81"/>
      <c r="I6" s="34"/>
      <c r="J6" s="32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>
        <v>0</v>
      </c>
      <c r="C7" s="36">
        <v>0</v>
      </c>
      <c r="D7" s="38">
        <v>0</v>
      </c>
      <c r="E7" s="41">
        <v>0</v>
      </c>
      <c r="F7" s="38">
        <v>305.16</v>
      </c>
      <c r="G7" s="41">
        <v>352.3</v>
      </c>
      <c r="H7" s="82">
        <v>337.96</v>
      </c>
      <c r="I7" s="83">
        <v>340</v>
      </c>
      <c r="J7" s="82">
        <v>318.97</v>
      </c>
      <c r="K7" s="83">
        <v>307</v>
      </c>
      <c r="L7" s="38">
        <v>522.09</v>
      </c>
      <c r="M7" s="43">
        <v>556</v>
      </c>
      <c r="N7" s="38">
        <v>632.8</v>
      </c>
      <c r="O7" s="43">
        <v>575.8</v>
      </c>
      <c r="P7" s="38">
        <f>380+524.23</f>
        <v>904.23</v>
      </c>
      <c r="Q7" s="43">
        <f>235+324.2</f>
        <v>559.2</v>
      </c>
      <c r="R7" s="38">
        <v>855.57</v>
      </c>
      <c r="S7" s="43">
        <v>408</v>
      </c>
      <c r="T7" s="38">
        <v>526.19</v>
      </c>
      <c r="U7" s="43">
        <v>213.9</v>
      </c>
    </row>
    <row r="8" spans="1:21" ht="15">
      <c r="A8" s="2" t="s">
        <v>10</v>
      </c>
      <c r="B8" s="35">
        <v>0</v>
      </c>
      <c r="C8" s="36">
        <v>0</v>
      </c>
      <c r="D8" s="38">
        <v>0</v>
      </c>
      <c r="E8" s="41">
        <v>0</v>
      </c>
      <c r="F8" s="38">
        <v>838.23</v>
      </c>
      <c r="G8" s="41">
        <v>562.8</v>
      </c>
      <c r="H8" s="84"/>
      <c r="I8" s="43"/>
      <c r="J8" s="38">
        <v>363.65</v>
      </c>
      <c r="K8" s="43">
        <v>350</v>
      </c>
      <c r="L8" s="38">
        <v>394.29</v>
      </c>
      <c r="M8" s="43">
        <v>419.9</v>
      </c>
      <c r="N8" s="38">
        <v>622.03</v>
      </c>
      <c r="O8" s="43">
        <v>566</v>
      </c>
      <c r="P8" s="38">
        <v>425.27</v>
      </c>
      <c r="Q8" s="43">
        <v>263</v>
      </c>
      <c r="R8" s="38">
        <v>1255.68</v>
      </c>
      <c r="S8" s="43">
        <v>598.8</v>
      </c>
      <c r="T8" s="38">
        <f>692.74+817.46</f>
        <v>1510.2</v>
      </c>
      <c r="U8" s="43">
        <f>281.6+332.3</f>
        <v>613.9000000000001</v>
      </c>
    </row>
    <row r="9" spans="1:21" ht="15">
      <c r="A9" s="2" t="s">
        <v>11</v>
      </c>
      <c r="B9" s="35">
        <v>0</v>
      </c>
      <c r="C9" s="36">
        <v>0</v>
      </c>
      <c r="D9" s="38">
        <v>0</v>
      </c>
      <c r="E9" s="41">
        <v>0</v>
      </c>
      <c r="F9" s="38">
        <v>552.35</v>
      </c>
      <c r="G9" s="41">
        <v>526.1</v>
      </c>
      <c r="H9" s="84">
        <v>596</v>
      </c>
      <c r="I9" s="43">
        <v>599.6</v>
      </c>
      <c r="J9" s="38">
        <v>0</v>
      </c>
      <c r="K9" s="43">
        <v>0</v>
      </c>
      <c r="L9" s="38">
        <v>398.51</v>
      </c>
      <c r="M9" s="43">
        <v>424.4</v>
      </c>
      <c r="N9" s="38">
        <v>722.04</v>
      </c>
      <c r="O9" s="43">
        <v>657</v>
      </c>
      <c r="P9" s="38">
        <v>630.63</v>
      </c>
      <c r="Q9" s="43">
        <v>390</v>
      </c>
      <c r="R9" s="38">
        <v>895.42</v>
      </c>
      <c r="S9" s="43">
        <v>427</v>
      </c>
      <c r="T9" s="38">
        <v>678.22</v>
      </c>
      <c r="U9" s="43">
        <v>275.7</v>
      </c>
    </row>
    <row r="10" spans="1:21" ht="15">
      <c r="A10" s="2" t="s">
        <v>23</v>
      </c>
      <c r="B10" s="35">
        <v>0</v>
      </c>
      <c r="C10" s="36">
        <v>0</v>
      </c>
      <c r="D10" s="38">
        <v>0</v>
      </c>
      <c r="E10" s="41">
        <v>0</v>
      </c>
      <c r="F10" s="38">
        <v>438.89</v>
      </c>
      <c r="G10" s="41">
        <v>486.2</v>
      </c>
      <c r="H10" s="84">
        <v>524.08</v>
      </c>
      <c r="I10" s="43">
        <v>437.1</v>
      </c>
      <c r="J10" s="38">
        <v>429.11</v>
      </c>
      <c r="K10" s="43">
        <v>413</v>
      </c>
      <c r="L10" s="38">
        <v>329.21</v>
      </c>
      <c r="M10" s="43">
        <v>350.6</v>
      </c>
      <c r="N10" s="38">
        <v>308.82</v>
      </c>
      <c r="O10" s="43">
        <v>281</v>
      </c>
      <c r="P10" s="38">
        <v>482.35</v>
      </c>
      <c r="Q10" s="43">
        <v>298.3</v>
      </c>
      <c r="R10" s="38">
        <v>666.43</v>
      </c>
      <c r="S10" s="43">
        <v>317.8</v>
      </c>
      <c r="T10" s="38">
        <v>711.43</v>
      </c>
      <c r="U10" s="43">
        <v>289.2</v>
      </c>
    </row>
    <row r="11" spans="1:21" ht="15">
      <c r="A11" s="2" t="s">
        <v>13</v>
      </c>
      <c r="B11" s="35">
        <v>0</v>
      </c>
      <c r="C11" s="36">
        <v>0</v>
      </c>
      <c r="D11" s="38">
        <v>0</v>
      </c>
      <c r="E11" s="41">
        <v>0</v>
      </c>
      <c r="F11" s="38"/>
      <c r="G11" s="41"/>
      <c r="H11" s="84"/>
      <c r="I11" s="43"/>
      <c r="J11" s="38">
        <v>469.63</v>
      </c>
      <c r="K11" s="43">
        <v>452</v>
      </c>
      <c r="L11" s="38">
        <v>672.33</v>
      </c>
      <c r="M11" s="43">
        <v>716</v>
      </c>
      <c r="N11" s="38"/>
      <c r="O11" s="43"/>
      <c r="P11" s="38">
        <v>852.97</v>
      </c>
      <c r="Q11" s="43">
        <v>527.5</v>
      </c>
      <c r="R11" s="38"/>
      <c r="S11" s="43"/>
      <c r="T11" s="38"/>
      <c r="U11" s="43"/>
    </row>
    <row r="12" spans="1:21" ht="15">
      <c r="A12" s="2" t="s">
        <v>14</v>
      </c>
      <c r="B12" s="35">
        <v>0</v>
      </c>
      <c r="C12" s="36">
        <v>0</v>
      </c>
      <c r="D12" s="38">
        <v>0</v>
      </c>
      <c r="E12" s="41">
        <v>0</v>
      </c>
      <c r="F12" s="38">
        <v>455.08</v>
      </c>
      <c r="G12" s="41">
        <v>483</v>
      </c>
      <c r="H12" s="84">
        <v>138.19</v>
      </c>
      <c r="I12" s="43">
        <v>133</v>
      </c>
      <c r="J12" s="38">
        <v>85.2</v>
      </c>
      <c r="K12" s="43">
        <v>82</v>
      </c>
      <c r="L12" s="38">
        <v>130.78</v>
      </c>
      <c r="M12" s="43">
        <v>119</v>
      </c>
      <c r="N12" s="38">
        <v>445.1</v>
      </c>
      <c r="O12" s="43">
        <v>405</v>
      </c>
      <c r="P12" s="38">
        <v>216.88</v>
      </c>
      <c r="Q12" s="43">
        <v>134</v>
      </c>
      <c r="R12" s="38">
        <v>707.11</v>
      </c>
      <c r="S12" s="43">
        <v>337.2</v>
      </c>
      <c r="T12" s="38"/>
      <c r="U12" s="43"/>
    </row>
    <row r="13" spans="1:21" ht="15">
      <c r="A13" s="2" t="s">
        <v>15</v>
      </c>
      <c r="B13" s="35">
        <v>0</v>
      </c>
      <c r="C13" s="36">
        <v>0</v>
      </c>
      <c r="D13" s="38">
        <v>0</v>
      </c>
      <c r="E13" s="41">
        <v>0</v>
      </c>
      <c r="F13" s="38">
        <v>0</v>
      </c>
      <c r="G13" s="41">
        <v>0</v>
      </c>
      <c r="H13" s="84"/>
      <c r="I13" s="43"/>
      <c r="J13" s="38">
        <v>0</v>
      </c>
      <c r="K13" s="43">
        <v>0</v>
      </c>
      <c r="L13" s="38"/>
      <c r="M13" s="43"/>
      <c r="N13" s="38"/>
      <c r="O13" s="43"/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>
        <v>0</v>
      </c>
      <c r="C14" s="36">
        <v>0</v>
      </c>
      <c r="D14" s="38">
        <v>0</v>
      </c>
      <c r="E14" s="41">
        <v>0</v>
      </c>
      <c r="F14" s="38">
        <v>168.78</v>
      </c>
      <c r="G14" s="41">
        <v>169.8</v>
      </c>
      <c r="H14" s="84">
        <v>164.16</v>
      </c>
      <c r="I14" s="43">
        <v>158</v>
      </c>
      <c r="J14" s="38">
        <v>186.3</v>
      </c>
      <c r="K14" s="43">
        <v>198.4</v>
      </c>
      <c r="L14" s="38"/>
      <c r="M14" s="43"/>
      <c r="N14" s="38">
        <v>226.39</v>
      </c>
      <c r="O14" s="43">
        <v>206</v>
      </c>
      <c r="P14" s="38">
        <v>597.65</v>
      </c>
      <c r="Q14" s="43">
        <v>285</v>
      </c>
      <c r="R14" s="38">
        <v>424.35</v>
      </c>
      <c r="S14" s="43">
        <v>172.5</v>
      </c>
      <c r="T14" s="38"/>
      <c r="U14" s="43"/>
    </row>
    <row r="15" spans="1:21" ht="15">
      <c r="A15" s="2" t="s">
        <v>17</v>
      </c>
      <c r="B15" s="35">
        <v>0</v>
      </c>
      <c r="C15" s="36">
        <v>0</v>
      </c>
      <c r="D15" s="38">
        <v>0</v>
      </c>
      <c r="E15" s="41">
        <v>0</v>
      </c>
      <c r="F15" s="38">
        <v>0</v>
      </c>
      <c r="G15" s="41">
        <v>0</v>
      </c>
      <c r="H15" s="84"/>
      <c r="I15" s="43"/>
      <c r="J15" s="38">
        <v>0</v>
      </c>
      <c r="K15" s="43">
        <v>0</v>
      </c>
      <c r="L15" s="38">
        <v>207.72</v>
      </c>
      <c r="M15" s="43">
        <v>270.9</v>
      </c>
      <c r="N15" s="38"/>
      <c r="O15" s="43"/>
      <c r="P15" s="38"/>
      <c r="Q15" s="43"/>
      <c r="R15" s="38"/>
      <c r="S15" s="43"/>
      <c r="T15" s="38"/>
      <c r="U15" s="43"/>
    </row>
    <row r="16" spans="1:21" ht="15">
      <c r="A16" s="2" t="s">
        <v>18</v>
      </c>
      <c r="B16" s="35">
        <v>0</v>
      </c>
      <c r="C16" s="36">
        <v>0</v>
      </c>
      <c r="D16" s="38">
        <v>0</v>
      </c>
      <c r="E16" s="41">
        <v>0</v>
      </c>
      <c r="F16" s="38">
        <v>404.86</v>
      </c>
      <c r="G16" s="41">
        <v>407.3</v>
      </c>
      <c r="H16" s="84">
        <v>429.21</v>
      </c>
      <c r="I16" s="43">
        <v>413.1</v>
      </c>
      <c r="J16" s="38">
        <v>502.37</v>
      </c>
      <c r="K16" s="43">
        <v>535</v>
      </c>
      <c r="L16" s="38">
        <v>330.03</v>
      </c>
      <c r="M16" s="43">
        <v>300.3</v>
      </c>
      <c r="N16" s="38">
        <v>460.92</v>
      </c>
      <c r="O16" s="43">
        <v>276</v>
      </c>
      <c r="P16" s="38">
        <v>1255.89</v>
      </c>
      <c r="Q16" s="43">
        <v>598.9</v>
      </c>
      <c r="R16" s="38">
        <v>977.11</v>
      </c>
      <c r="S16" s="43">
        <v>397.2</v>
      </c>
      <c r="T16" s="38"/>
      <c r="U16" s="43"/>
    </row>
    <row r="17" spans="1:21" ht="15">
      <c r="A17" s="2" t="s">
        <v>19</v>
      </c>
      <c r="B17" s="35">
        <v>0</v>
      </c>
      <c r="C17" s="36">
        <v>0</v>
      </c>
      <c r="D17" s="38">
        <v>412.57</v>
      </c>
      <c r="E17" s="41">
        <v>532.9</v>
      </c>
      <c r="F17" s="38">
        <v>599.28</v>
      </c>
      <c r="G17" s="41">
        <v>602.9</v>
      </c>
      <c r="H17" s="84">
        <v>509.84</v>
      </c>
      <c r="I17" s="43">
        <v>490.7</v>
      </c>
      <c r="J17" s="38">
        <v>420.48</v>
      </c>
      <c r="K17" s="43">
        <v>447.8</v>
      </c>
      <c r="L17" s="38">
        <v>386.85</v>
      </c>
      <c r="M17" s="43">
        <v>352</v>
      </c>
      <c r="N17" s="38">
        <f>378.38+454.38</f>
        <v>832.76</v>
      </c>
      <c r="O17" s="43">
        <f>234+281</f>
        <v>515</v>
      </c>
      <c r="P17" s="38">
        <v>1054.79</v>
      </c>
      <c r="Q17" s="43">
        <v>502.9</v>
      </c>
      <c r="R17" s="38">
        <f>463.46+261.99</f>
        <v>725.45</v>
      </c>
      <c r="S17" s="43">
        <f>188.4+106.5</f>
        <v>294.9</v>
      </c>
      <c r="T17" s="38"/>
      <c r="U17" s="43"/>
    </row>
    <row r="18" spans="1:21" ht="15.75" thickBot="1">
      <c r="A18" s="2" t="s">
        <v>20</v>
      </c>
      <c r="B18" s="35">
        <v>0</v>
      </c>
      <c r="C18" s="36">
        <v>0</v>
      </c>
      <c r="D18" s="38">
        <v>319.48</v>
      </c>
      <c r="E18" s="41">
        <v>380.6</v>
      </c>
      <c r="F18" s="38">
        <v>938.75</v>
      </c>
      <c r="G18" s="41">
        <v>330.6</v>
      </c>
      <c r="H18" s="85">
        <v>309.62</v>
      </c>
      <c r="I18" s="86">
        <v>298</v>
      </c>
      <c r="J18" s="129">
        <v>640.4</v>
      </c>
      <c r="K18" s="86">
        <v>954.12</v>
      </c>
      <c r="L18" s="38">
        <v>840.74</v>
      </c>
      <c r="M18" s="43">
        <v>765</v>
      </c>
      <c r="N18" s="38">
        <f>408.78+407.48</f>
        <v>816.26</v>
      </c>
      <c r="O18" s="43">
        <f>252.8+252</f>
        <v>504.8</v>
      </c>
      <c r="P18" s="38">
        <v>1358.86</v>
      </c>
      <c r="Q18" s="43">
        <v>648</v>
      </c>
      <c r="R18" s="38">
        <f>489.79+471.09</f>
        <v>960.88</v>
      </c>
      <c r="S18" s="43">
        <f>199.1+191.5</f>
        <v>390.6</v>
      </c>
      <c r="T18" s="38"/>
      <c r="U18" s="43"/>
    </row>
    <row r="19" spans="1:21" s="1" customFormat="1" ht="15.75" thickBot="1">
      <c r="A19" s="2" t="s">
        <v>21</v>
      </c>
      <c r="B19" s="37">
        <f aca="true" t="shared" si="0" ref="B19:I19">SUM(B7:B18)</f>
        <v>0</v>
      </c>
      <c r="C19" s="40">
        <f t="shared" si="0"/>
        <v>0</v>
      </c>
      <c r="D19" s="93">
        <f t="shared" si="0"/>
        <v>732.05</v>
      </c>
      <c r="E19" s="94">
        <f t="shared" si="0"/>
        <v>913.5</v>
      </c>
      <c r="F19" s="93">
        <f t="shared" si="0"/>
        <v>4701.38</v>
      </c>
      <c r="G19" s="94">
        <f t="shared" si="0"/>
        <v>3921</v>
      </c>
      <c r="H19" s="92">
        <f t="shared" si="0"/>
        <v>3009.06</v>
      </c>
      <c r="I19" s="52">
        <f t="shared" si="0"/>
        <v>2869.5</v>
      </c>
      <c r="J19" s="92">
        <f aca="true" t="shared" si="1" ref="J19:O19">SUM(J7:J18)</f>
        <v>3416.11</v>
      </c>
      <c r="K19" s="52">
        <f t="shared" si="1"/>
        <v>3739.32</v>
      </c>
      <c r="L19" s="133">
        <f t="shared" si="1"/>
        <v>4212.55</v>
      </c>
      <c r="M19" s="89">
        <f t="shared" si="1"/>
        <v>4274.1</v>
      </c>
      <c r="N19" s="133">
        <f t="shared" si="1"/>
        <v>5067.12</v>
      </c>
      <c r="O19" s="89">
        <f t="shared" si="1"/>
        <v>3986.6000000000004</v>
      </c>
      <c r="P19" s="133">
        <f aca="true" t="shared" si="2" ref="P19:U19">SUM(P7:P18)</f>
        <v>7779.5199999999995</v>
      </c>
      <c r="Q19" s="89">
        <f t="shared" si="2"/>
        <v>4206.8</v>
      </c>
      <c r="R19" s="133">
        <f t="shared" si="2"/>
        <v>7468</v>
      </c>
      <c r="S19" s="89">
        <f t="shared" si="2"/>
        <v>3343.9999999999995</v>
      </c>
      <c r="T19" s="133">
        <f t="shared" si="2"/>
        <v>3426.04</v>
      </c>
      <c r="U19" s="89">
        <f t="shared" si="2"/>
        <v>1392.7</v>
      </c>
    </row>
  </sheetData>
  <printOptions gridLines="1"/>
  <pageMargins left="0.75" right="0.75" top="1" bottom="1" header="0.5" footer="0.5"/>
  <pageSetup horizontalDpi="360" verticalDpi="360" orientation="portrait"/>
  <headerFooter alignWithMargins="0">
    <oddHeader>&amp;C&amp;A</oddHeader>
    <oddFooter>&amp;CPage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3:U19"/>
  <sheetViews>
    <sheetView zoomScale="75" zoomScaleNormal="75" workbookViewId="0" topLeftCell="A1">
      <pane xSplit="1" topLeftCell="AW1" activePane="topRight" state="frozen"/>
      <selection pane="topLeft" activeCell="A1" sqref="A1"/>
      <selection pane="topRight" activeCell="V10" sqref="V10"/>
    </sheetView>
  </sheetViews>
  <sheetFormatPr defaultColWidth="11.5546875" defaultRowHeight="15"/>
  <cols>
    <col min="1" max="1" width="13.6640625" style="3" customWidth="1"/>
    <col min="2" max="2" width="8.88671875" style="8" customWidth="1"/>
    <col min="3" max="3" width="8.6640625" style="0" customWidth="1"/>
    <col min="4" max="4" width="8.88671875" style="8" customWidth="1"/>
    <col min="5" max="7" width="8.6640625" style="0" customWidth="1"/>
    <col min="8" max="8" width="12.6640625" style="0" bestFit="1" customWidth="1"/>
    <col min="9" max="9" width="8.6640625" style="0" customWidth="1"/>
    <col min="10" max="10" width="9.10546875" style="0" bestFit="1" customWidth="1"/>
    <col min="11" max="11" width="8.6640625" style="0" customWidth="1"/>
    <col min="13" max="13" width="8.6640625" style="0" customWidth="1"/>
    <col min="14" max="14" width="9.6640625" style="0" bestFit="1" customWidth="1"/>
    <col min="15" max="15" width="8.6640625" style="0" customWidth="1"/>
    <col min="16" max="16" width="9.88671875" style="0" customWidth="1"/>
    <col min="17" max="17" width="8.6640625" style="0" customWidth="1"/>
    <col min="18" max="18" width="9.88671875" style="0" customWidth="1"/>
    <col min="19" max="19" width="8.6640625" style="0" customWidth="1"/>
    <col min="20" max="20" width="11.6640625" style="0" customWidth="1"/>
    <col min="21" max="16384" width="8.6640625" style="0" customWidth="1"/>
  </cols>
  <sheetData>
    <row r="2" ht="15.75" thickBot="1"/>
    <row r="3" spans="1:21" s="5" customFormat="1" ht="15">
      <c r="A3" s="110" t="s">
        <v>28</v>
      </c>
      <c r="B3" s="45">
        <v>1998</v>
      </c>
      <c r="C3" s="46"/>
      <c r="D3" s="26">
        <v>1999</v>
      </c>
      <c r="E3" s="28"/>
      <c r="F3" s="26">
        <v>2000</v>
      </c>
      <c r="G3" s="28"/>
      <c r="H3" s="88">
        <v>2001</v>
      </c>
      <c r="I3" s="46"/>
      <c r="J3" s="88">
        <v>2002</v>
      </c>
      <c r="K3" s="46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5" customFormat="1" ht="15">
      <c r="A4" s="4"/>
      <c r="B4" s="32" t="s">
        <v>5</v>
      </c>
      <c r="C4" s="34"/>
      <c r="D4" s="29" t="s">
        <v>5</v>
      </c>
      <c r="E4" s="31"/>
      <c r="F4" s="29" t="s">
        <v>5</v>
      </c>
      <c r="G4" s="31"/>
      <c r="H4" s="81" t="s">
        <v>5</v>
      </c>
      <c r="I4" s="34"/>
      <c r="J4" s="81" t="s">
        <v>5</v>
      </c>
      <c r="K4" s="34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5" customFormat="1" ht="15">
      <c r="A5" s="4" t="s">
        <v>22</v>
      </c>
      <c r="B5" s="32" t="s">
        <v>8</v>
      </c>
      <c r="C5" s="34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81" t="s">
        <v>8</v>
      </c>
      <c r="I5" s="34" t="s">
        <v>7</v>
      </c>
      <c r="J5" s="81" t="s">
        <v>8</v>
      </c>
      <c r="K5" s="34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32"/>
      <c r="C6" s="34"/>
      <c r="D6" s="32"/>
      <c r="E6" s="34"/>
      <c r="F6" s="32"/>
      <c r="G6" s="34"/>
      <c r="H6" s="81"/>
      <c r="I6" s="34"/>
      <c r="J6" s="81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>
        <v>0</v>
      </c>
      <c r="C7" s="41">
        <v>0</v>
      </c>
      <c r="D7" s="38"/>
      <c r="E7" s="41"/>
      <c r="F7" s="38"/>
      <c r="G7" s="41"/>
      <c r="H7" s="90"/>
      <c r="I7" s="43"/>
      <c r="J7" s="90">
        <v>153.25</v>
      </c>
      <c r="K7" s="43">
        <v>147.5</v>
      </c>
      <c r="L7" s="38">
        <v>281.04</v>
      </c>
      <c r="M7" s="43">
        <v>299.3</v>
      </c>
      <c r="N7" s="38">
        <v>313.33</v>
      </c>
      <c r="O7" s="43">
        <v>185.1</v>
      </c>
      <c r="P7" s="38"/>
      <c r="Q7" s="43"/>
      <c r="R7" s="38">
        <v>397.38</v>
      </c>
      <c r="S7" s="43">
        <v>189.5</v>
      </c>
      <c r="T7" s="38">
        <v>325.7</v>
      </c>
      <c r="U7" s="43">
        <v>132.4</v>
      </c>
    </row>
    <row r="8" spans="1:21" ht="15">
      <c r="A8" s="2" t="s">
        <v>10</v>
      </c>
      <c r="B8" s="35">
        <v>0</v>
      </c>
      <c r="C8" s="41"/>
      <c r="D8" s="38"/>
      <c r="E8" s="41"/>
      <c r="F8" s="38"/>
      <c r="G8" s="41"/>
      <c r="H8" s="90">
        <v>168.48</v>
      </c>
      <c r="I8" s="43">
        <v>169.5</v>
      </c>
      <c r="J8" s="90">
        <v>208.53</v>
      </c>
      <c r="K8" s="43">
        <v>200.7</v>
      </c>
      <c r="L8" s="38">
        <v>166.39</v>
      </c>
      <c r="M8" s="43">
        <v>177.2</v>
      </c>
      <c r="N8" s="38">
        <v>226.51</v>
      </c>
      <c r="O8" s="43">
        <v>206.1</v>
      </c>
      <c r="P8" s="38">
        <f>200.51+163.48</f>
        <v>363.99</v>
      </c>
      <c r="Q8" s="43">
        <f>124+101.1</f>
        <v>225.1</v>
      </c>
      <c r="R8" s="38">
        <v>597.01</v>
      </c>
      <c r="S8" s="43">
        <v>284.7</v>
      </c>
      <c r="T8" s="38">
        <f>362.36+307.75</f>
        <v>670.11</v>
      </c>
      <c r="U8" s="43">
        <f>147.3+125.1</f>
        <v>272.4</v>
      </c>
    </row>
    <row r="9" spans="1:21" ht="15">
      <c r="A9" s="2" t="s">
        <v>11</v>
      </c>
      <c r="B9" s="35">
        <v>0</v>
      </c>
      <c r="C9" s="41"/>
      <c r="D9" s="38"/>
      <c r="E9" s="41"/>
      <c r="F9" s="38">
        <v>0</v>
      </c>
      <c r="G9" s="41"/>
      <c r="H9" s="90"/>
      <c r="I9" s="43"/>
      <c r="J9" s="90">
        <v>176.63</v>
      </c>
      <c r="K9" s="43">
        <v>170</v>
      </c>
      <c r="L9" s="38"/>
      <c r="M9" s="43"/>
      <c r="N9" s="38">
        <v>274.42</v>
      </c>
      <c r="O9" s="43">
        <v>249.7</v>
      </c>
      <c r="P9" s="38">
        <v>460.53</v>
      </c>
      <c r="Q9" s="43">
        <v>284.8</v>
      </c>
      <c r="R9" s="38">
        <v>417.51</v>
      </c>
      <c r="S9" s="43">
        <v>199.1</v>
      </c>
      <c r="T9" s="38">
        <v>332.35</v>
      </c>
      <c r="U9" s="43">
        <v>135.1</v>
      </c>
    </row>
    <row r="10" spans="1:21" ht="15">
      <c r="A10" s="2" t="s">
        <v>23</v>
      </c>
      <c r="B10" s="35">
        <v>0</v>
      </c>
      <c r="C10" s="41"/>
      <c r="D10" s="38"/>
      <c r="E10" s="41"/>
      <c r="F10" s="38"/>
      <c r="G10" s="41"/>
      <c r="H10" s="90">
        <v>190.76</v>
      </c>
      <c r="I10" s="43">
        <v>159.1</v>
      </c>
      <c r="J10" s="90">
        <v>190.86</v>
      </c>
      <c r="K10" s="43">
        <v>183.7</v>
      </c>
      <c r="L10" s="38">
        <v>218.04</v>
      </c>
      <c r="M10" s="43">
        <v>232.2</v>
      </c>
      <c r="N10" s="38">
        <v>119.57</v>
      </c>
      <c r="O10" s="43">
        <v>108.8</v>
      </c>
      <c r="P10" s="38">
        <v>150.7</v>
      </c>
      <c r="Q10" s="43">
        <v>93.2</v>
      </c>
      <c r="R10" s="38">
        <v>212.64</v>
      </c>
      <c r="S10" s="43">
        <v>101.4</v>
      </c>
      <c r="T10" s="38">
        <v>344.15</v>
      </c>
      <c r="U10" s="43">
        <v>139.9</v>
      </c>
    </row>
    <row r="11" spans="1:21" ht="15">
      <c r="A11" s="2" t="s">
        <v>13</v>
      </c>
      <c r="B11" s="35">
        <v>0</v>
      </c>
      <c r="C11" s="41"/>
      <c r="D11" s="38"/>
      <c r="E11" s="41"/>
      <c r="F11" s="38"/>
      <c r="G11" s="41"/>
      <c r="H11" s="90"/>
      <c r="I11" s="43"/>
      <c r="J11" s="90">
        <v>172.68</v>
      </c>
      <c r="K11" s="43">
        <v>166.2</v>
      </c>
      <c r="L11" s="38"/>
      <c r="M11" s="43">
        <v>180.9</v>
      </c>
      <c r="N11" s="38"/>
      <c r="O11" s="43"/>
      <c r="P11" s="38"/>
      <c r="Q11" s="43"/>
      <c r="R11" s="38"/>
      <c r="S11" s="43"/>
      <c r="T11" s="38"/>
      <c r="U11" s="43"/>
    </row>
    <row r="12" spans="1:21" ht="15">
      <c r="A12" s="2" t="s">
        <v>14</v>
      </c>
      <c r="B12" s="35">
        <v>0</v>
      </c>
      <c r="C12" s="41"/>
      <c r="D12" s="38"/>
      <c r="E12" s="41"/>
      <c r="F12" s="38">
        <v>351.78</v>
      </c>
      <c r="G12" s="41">
        <v>362.7</v>
      </c>
      <c r="H12" s="90">
        <v>30.65</v>
      </c>
      <c r="I12" s="43">
        <v>29.5</v>
      </c>
      <c r="J12" s="90">
        <v>31.55</v>
      </c>
      <c r="K12" s="43">
        <v>33.6</v>
      </c>
      <c r="L12" s="38">
        <v>21.65</v>
      </c>
      <c r="M12" s="43">
        <v>19.7</v>
      </c>
      <c r="N12" s="38">
        <v>133.75</v>
      </c>
      <c r="O12" s="43">
        <v>121.7</v>
      </c>
      <c r="P12" s="38">
        <v>238.99</v>
      </c>
      <c r="Q12" s="43">
        <v>147.8</v>
      </c>
      <c r="R12" s="38">
        <v>231.51</v>
      </c>
      <c r="S12" s="43">
        <v>110.4</v>
      </c>
      <c r="T12" s="38"/>
      <c r="U12" s="43"/>
    </row>
    <row r="13" spans="1:21" ht="15">
      <c r="A13" s="2" t="s">
        <v>15</v>
      </c>
      <c r="B13" s="35">
        <v>0</v>
      </c>
      <c r="C13" s="41"/>
      <c r="D13" s="38"/>
      <c r="E13" s="41"/>
      <c r="F13" s="38"/>
      <c r="G13" s="41"/>
      <c r="H13" s="90"/>
      <c r="I13" s="43"/>
      <c r="J13" s="90">
        <v>0</v>
      </c>
      <c r="K13" s="43">
        <v>0</v>
      </c>
      <c r="L13" s="38"/>
      <c r="M13" s="43"/>
      <c r="N13" s="38"/>
      <c r="O13" s="43"/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>
        <v>0</v>
      </c>
      <c r="C14" s="41"/>
      <c r="D14" s="38"/>
      <c r="E14" s="41"/>
      <c r="F14" s="38">
        <v>70.9</v>
      </c>
      <c r="G14" s="41">
        <v>70.47</v>
      </c>
      <c r="H14" s="90">
        <v>62.96</v>
      </c>
      <c r="I14" s="43">
        <v>60.6</v>
      </c>
      <c r="J14" s="90">
        <v>58.2262</v>
      </c>
      <c r="K14" s="43">
        <v>0</v>
      </c>
      <c r="L14" s="38"/>
      <c r="M14" s="43"/>
      <c r="N14" s="38">
        <v>92.21</v>
      </c>
      <c r="O14" s="43">
        <v>83.9</v>
      </c>
      <c r="P14" s="38">
        <v>131.9</v>
      </c>
      <c r="Q14" s="43">
        <v>62.9</v>
      </c>
      <c r="R14" s="38">
        <v>186.71</v>
      </c>
      <c r="S14" s="43">
        <v>75.9</v>
      </c>
      <c r="T14" s="38"/>
      <c r="U14" s="43"/>
    </row>
    <row r="15" spans="1:21" ht="15">
      <c r="A15" s="2" t="s">
        <v>17</v>
      </c>
      <c r="B15" s="35">
        <v>0</v>
      </c>
      <c r="C15" s="41"/>
      <c r="D15" s="38"/>
      <c r="E15" s="41"/>
      <c r="F15" s="38">
        <v>34.09</v>
      </c>
      <c r="G15" s="41">
        <v>34.3</v>
      </c>
      <c r="H15" s="90"/>
      <c r="I15" s="43"/>
      <c r="J15" s="90">
        <v>0</v>
      </c>
      <c r="K15" s="43">
        <v>0</v>
      </c>
      <c r="L15" s="38">
        <v>86.16</v>
      </c>
      <c r="M15" s="43">
        <v>78.4</v>
      </c>
      <c r="N15" s="38"/>
      <c r="O15" s="43"/>
      <c r="P15" s="38"/>
      <c r="Q15" s="43"/>
      <c r="R15" s="38"/>
      <c r="S15" s="43"/>
      <c r="T15" s="38"/>
      <c r="U15" s="43"/>
    </row>
    <row r="16" spans="1:21" ht="15">
      <c r="A16" s="2" t="s">
        <v>18</v>
      </c>
      <c r="B16" s="35">
        <v>0</v>
      </c>
      <c r="C16" s="41"/>
      <c r="D16" s="38"/>
      <c r="E16" s="41"/>
      <c r="F16" s="38">
        <v>94.43</v>
      </c>
      <c r="G16" s="41">
        <v>95</v>
      </c>
      <c r="H16" s="90">
        <v>76.16</v>
      </c>
      <c r="I16" s="43">
        <v>73.3</v>
      </c>
      <c r="J16" s="90">
        <v>110.24</v>
      </c>
      <c r="K16" s="43">
        <v>117.4</v>
      </c>
      <c r="L16" s="38">
        <v>86.82</v>
      </c>
      <c r="M16" s="43">
        <v>79</v>
      </c>
      <c r="N16" s="38">
        <v>120.74</v>
      </c>
      <c r="O16" s="43">
        <v>72.3</v>
      </c>
      <c r="P16" s="38">
        <v>152.87</v>
      </c>
      <c r="Q16" s="43">
        <v>72.9</v>
      </c>
      <c r="R16" s="38">
        <v>272.81</v>
      </c>
      <c r="S16" s="43">
        <v>110.9</v>
      </c>
      <c r="T16" s="38"/>
      <c r="U16" s="43"/>
    </row>
    <row r="17" spans="1:21" ht="15">
      <c r="A17" s="2" t="s">
        <v>19</v>
      </c>
      <c r="B17" s="35">
        <v>0</v>
      </c>
      <c r="C17" s="41"/>
      <c r="D17" s="38"/>
      <c r="E17" s="41"/>
      <c r="F17" s="38">
        <v>87.47</v>
      </c>
      <c r="G17" s="41">
        <v>88</v>
      </c>
      <c r="H17" s="90">
        <v>167.28</v>
      </c>
      <c r="I17" s="43">
        <v>161</v>
      </c>
      <c r="J17" s="90">
        <v>138.03</v>
      </c>
      <c r="K17" s="43">
        <v>147</v>
      </c>
      <c r="L17" s="38">
        <v>135.95</v>
      </c>
      <c r="M17" s="43">
        <v>123.7</v>
      </c>
      <c r="N17" s="38">
        <f>106.24+127.42</f>
        <v>233.66</v>
      </c>
      <c r="O17" s="43">
        <f>65.7+78.8</f>
        <v>144.5</v>
      </c>
      <c r="P17" s="38">
        <v>316.44</v>
      </c>
      <c r="Q17" s="43">
        <v>150.9</v>
      </c>
      <c r="R17" s="38">
        <v>320.54</v>
      </c>
      <c r="S17" s="43">
        <v>130.3</v>
      </c>
      <c r="T17" s="38"/>
      <c r="U17" s="43"/>
    </row>
    <row r="18" spans="1:21" ht="15.75" thickBot="1">
      <c r="A18" s="2" t="s">
        <v>20</v>
      </c>
      <c r="B18" s="35">
        <v>0</v>
      </c>
      <c r="C18" s="41">
        <v>0</v>
      </c>
      <c r="D18" s="38">
        <v>0</v>
      </c>
      <c r="E18" s="41">
        <v>0</v>
      </c>
      <c r="F18" s="38">
        <v>289.75</v>
      </c>
      <c r="G18" s="41">
        <v>291.5</v>
      </c>
      <c r="H18" s="91">
        <v>116.99</v>
      </c>
      <c r="I18" s="86">
        <v>112.6</v>
      </c>
      <c r="J18" s="91">
        <v>272.12</v>
      </c>
      <c r="K18" s="86">
        <v>289.9</v>
      </c>
      <c r="L18" s="38">
        <v>321.57</v>
      </c>
      <c r="M18" s="43">
        <v>292.6</v>
      </c>
      <c r="N18" s="38">
        <f>230.26+197.92</f>
        <v>428.17999999999995</v>
      </c>
      <c r="O18" s="43">
        <f>142.4+122.4</f>
        <v>264.8</v>
      </c>
      <c r="P18" s="38">
        <v>607.92</v>
      </c>
      <c r="Q18" s="43">
        <v>289.9</v>
      </c>
      <c r="R18" s="38">
        <f>270.35+272.08</f>
        <v>542.4300000000001</v>
      </c>
      <c r="S18" s="43">
        <f>109.9+110.6</f>
        <v>220.5</v>
      </c>
      <c r="T18" s="38"/>
      <c r="U18" s="43"/>
    </row>
    <row r="19" spans="1:21" s="5" customFormat="1" ht="15.75" thickBot="1">
      <c r="A19" s="4" t="s">
        <v>21</v>
      </c>
      <c r="B19" s="48">
        <f aca="true" t="shared" si="0" ref="B19:H19">SUM(B7:B18)</f>
        <v>0</v>
      </c>
      <c r="C19" s="49">
        <f t="shared" si="0"/>
        <v>0</v>
      </c>
      <c r="D19" s="93">
        <f t="shared" si="0"/>
        <v>0</v>
      </c>
      <c r="E19" s="94">
        <f t="shared" si="0"/>
        <v>0</v>
      </c>
      <c r="F19" s="93">
        <f t="shared" si="0"/>
        <v>928.4200000000001</v>
      </c>
      <c r="G19" s="94">
        <f t="shared" si="0"/>
        <v>941.97</v>
      </c>
      <c r="H19" s="95">
        <f t="shared" si="0"/>
        <v>813.28</v>
      </c>
      <c r="I19" s="89">
        <f>SUM(I8:I18)</f>
        <v>765.6</v>
      </c>
      <c r="J19" s="95">
        <f aca="true" t="shared" si="1" ref="J19:O19">SUM(J7:J18)</f>
        <v>1512.1162</v>
      </c>
      <c r="K19" s="89">
        <f t="shared" si="1"/>
        <v>1456</v>
      </c>
      <c r="L19" s="133">
        <f t="shared" si="1"/>
        <v>1317.62</v>
      </c>
      <c r="M19" s="89">
        <f t="shared" si="1"/>
        <v>1483</v>
      </c>
      <c r="N19" s="133">
        <f t="shared" si="1"/>
        <v>1942.37</v>
      </c>
      <c r="O19" s="89">
        <f t="shared" si="1"/>
        <v>1436.8999999999999</v>
      </c>
      <c r="P19" s="133">
        <f aca="true" t="shared" si="2" ref="P19:U19">SUM(P7:P18)</f>
        <v>2423.34</v>
      </c>
      <c r="Q19" s="89">
        <f t="shared" si="2"/>
        <v>1327.5</v>
      </c>
      <c r="R19" s="133">
        <f t="shared" si="2"/>
        <v>3178.54</v>
      </c>
      <c r="S19" s="89">
        <f t="shared" si="2"/>
        <v>1422.6999999999998</v>
      </c>
      <c r="T19" s="133">
        <f t="shared" si="2"/>
        <v>1672.31</v>
      </c>
      <c r="U19" s="89">
        <f t="shared" si="2"/>
        <v>679.8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U19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U10" sqref="U10"/>
    </sheetView>
  </sheetViews>
  <sheetFormatPr defaultColWidth="11.5546875" defaultRowHeight="15"/>
  <cols>
    <col min="1" max="1" width="14.3359375" style="3" bestFit="1" customWidth="1"/>
    <col min="2" max="2" width="8.88671875" style="8" customWidth="1"/>
    <col min="3" max="3" width="8.6640625" style="0" customWidth="1"/>
    <col min="4" max="4" width="8.88671875" style="8" customWidth="1"/>
    <col min="5" max="11" width="8.6640625" style="0" customWidth="1"/>
    <col min="12" max="12" width="9.88671875" style="0" customWidth="1"/>
    <col min="13" max="13" width="8.6640625" style="0" customWidth="1"/>
    <col min="14" max="14" width="9.6640625" style="0" bestFit="1" customWidth="1"/>
    <col min="15" max="15" width="8.6640625" style="0" customWidth="1"/>
    <col min="16" max="16" width="10.3359375" style="0" customWidth="1"/>
    <col min="17" max="17" width="8.6640625" style="0" customWidth="1"/>
    <col min="18" max="18" width="10.3359375" style="0" customWidth="1"/>
    <col min="19" max="19" width="8.6640625" style="0" customWidth="1"/>
    <col min="20" max="20" width="9.6640625" style="0" bestFit="1" customWidth="1"/>
    <col min="21" max="16384" width="8.6640625" style="0" customWidth="1"/>
  </cols>
  <sheetData>
    <row r="1" ht="15">
      <c r="A1" s="153" t="s">
        <v>32</v>
      </c>
    </row>
    <row r="2" ht="15.75" thickBot="1"/>
    <row r="3" spans="1:21" s="11" customFormat="1" ht="16.5">
      <c r="A3" s="156"/>
      <c r="B3" s="45">
        <v>1998</v>
      </c>
      <c r="C3" s="53"/>
      <c r="D3" s="26">
        <v>1999</v>
      </c>
      <c r="E3" s="28"/>
      <c r="F3" s="26">
        <v>2000</v>
      </c>
      <c r="G3" s="28"/>
      <c r="H3" s="45">
        <v>2001</v>
      </c>
      <c r="I3" s="53"/>
      <c r="J3" s="45">
        <v>2002</v>
      </c>
      <c r="K3" s="53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5" customFormat="1" ht="15">
      <c r="A4" s="4"/>
      <c r="B4" s="32" t="s">
        <v>5</v>
      </c>
      <c r="C4" s="34"/>
      <c r="D4" s="29" t="s">
        <v>5</v>
      </c>
      <c r="E4" s="31"/>
      <c r="F4" s="29" t="s">
        <v>5</v>
      </c>
      <c r="G4" s="31"/>
      <c r="H4" s="81" t="s">
        <v>5</v>
      </c>
      <c r="I4" s="34"/>
      <c r="J4" s="81" t="s">
        <v>5</v>
      </c>
      <c r="K4" s="34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5" customFormat="1" ht="15">
      <c r="A5" s="4" t="s">
        <v>22</v>
      </c>
      <c r="B5" s="32" t="s">
        <v>8</v>
      </c>
      <c r="C5" s="34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81" t="s">
        <v>8</v>
      </c>
      <c r="I5" s="34" t="s">
        <v>7</v>
      </c>
      <c r="J5" s="81" t="s">
        <v>8</v>
      </c>
      <c r="K5" s="34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32"/>
      <c r="C6" s="34"/>
      <c r="D6" s="32"/>
      <c r="E6" s="34"/>
      <c r="F6" s="32"/>
      <c r="G6" s="34"/>
      <c r="H6" s="81"/>
      <c r="I6" s="34"/>
      <c r="J6" s="81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/>
      <c r="C7" s="43"/>
      <c r="D7" s="38"/>
      <c r="E7" s="41"/>
      <c r="F7" s="38"/>
      <c r="G7" s="41"/>
      <c r="H7" s="90">
        <v>59.44</v>
      </c>
      <c r="I7" s="43">
        <v>59.8</v>
      </c>
      <c r="J7" s="90"/>
      <c r="K7" s="43"/>
      <c r="L7" s="38">
        <v>131.18</v>
      </c>
      <c r="M7" s="43">
        <v>139.7</v>
      </c>
      <c r="N7" s="38">
        <v>223.54</v>
      </c>
      <c r="O7" s="43">
        <v>203.4</v>
      </c>
      <c r="P7" s="38"/>
      <c r="Q7" s="43"/>
      <c r="R7" s="38">
        <v>336.63</v>
      </c>
      <c r="S7" s="43">
        <v>159.1</v>
      </c>
      <c r="T7" s="38">
        <v>260.76</v>
      </c>
      <c r="U7" s="43">
        <v>106</v>
      </c>
    </row>
    <row r="8" spans="1:21" ht="15">
      <c r="A8" s="2" t="s">
        <v>10</v>
      </c>
      <c r="B8" s="35"/>
      <c r="C8" s="43"/>
      <c r="D8" s="38"/>
      <c r="E8" s="41"/>
      <c r="F8" s="38"/>
      <c r="G8" s="41"/>
      <c r="H8" s="90">
        <v>138.07</v>
      </c>
      <c r="I8" s="43">
        <v>138.9</v>
      </c>
      <c r="J8" s="90">
        <v>87.59</v>
      </c>
      <c r="K8" s="43">
        <v>84.3</v>
      </c>
      <c r="L8" s="38">
        <v>141.32</v>
      </c>
      <c r="M8" s="43">
        <v>150.5</v>
      </c>
      <c r="N8" s="38">
        <v>213.65</v>
      </c>
      <c r="O8" s="43">
        <v>194.4</v>
      </c>
      <c r="P8" s="38">
        <v>206.65</v>
      </c>
      <c r="Q8" s="43">
        <v>127.8</v>
      </c>
      <c r="R8" s="38">
        <v>353.77</v>
      </c>
      <c r="S8" s="43">
        <v>168.7</v>
      </c>
      <c r="T8" s="38">
        <v>456.82</v>
      </c>
      <c r="U8" s="43">
        <v>185.7</v>
      </c>
    </row>
    <row r="9" spans="1:21" ht="15">
      <c r="A9" s="2" t="s">
        <v>11</v>
      </c>
      <c r="B9" s="35"/>
      <c r="C9" s="43"/>
      <c r="D9" s="38">
        <v>0</v>
      </c>
      <c r="E9" s="41"/>
      <c r="F9" s="38">
        <v>0</v>
      </c>
      <c r="G9" s="41"/>
      <c r="H9" s="90">
        <v>202.18</v>
      </c>
      <c r="I9" s="43">
        <v>203.4</v>
      </c>
      <c r="J9" s="90">
        <v>111.69</v>
      </c>
      <c r="K9" s="43">
        <v>107.5</v>
      </c>
      <c r="L9" s="38">
        <v>139.16</v>
      </c>
      <c r="M9" s="43">
        <v>148.2</v>
      </c>
      <c r="N9" s="38">
        <v>152.76</v>
      </c>
      <c r="O9" s="43">
        <v>139</v>
      </c>
      <c r="P9" s="38">
        <f>197.11+102.68</f>
        <v>299.79</v>
      </c>
      <c r="Q9" s="43">
        <f>121.9+63.5</f>
        <v>185.4</v>
      </c>
      <c r="R9" s="38">
        <v>464.27</v>
      </c>
      <c r="S9" s="43">
        <v>221.4</v>
      </c>
      <c r="T9" s="38">
        <v>264.45</v>
      </c>
      <c r="U9" s="43">
        <v>107.5</v>
      </c>
    </row>
    <row r="10" spans="1:21" ht="15">
      <c r="A10" s="2" t="s">
        <v>23</v>
      </c>
      <c r="B10" s="35"/>
      <c r="C10" s="43"/>
      <c r="D10" s="38">
        <v>0</v>
      </c>
      <c r="E10" s="41"/>
      <c r="F10" s="38">
        <v>0</v>
      </c>
      <c r="G10" s="41"/>
      <c r="H10" s="90"/>
      <c r="I10" s="43"/>
      <c r="J10" s="90">
        <v>85.72</v>
      </c>
      <c r="K10" s="43">
        <v>82.5</v>
      </c>
      <c r="L10" s="38">
        <v>139.54</v>
      </c>
      <c r="M10" s="43">
        <v>146.6</v>
      </c>
      <c r="N10" s="38">
        <v>199.47</v>
      </c>
      <c r="O10" s="43">
        <v>181.5</v>
      </c>
      <c r="P10" s="38">
        <v>92.17</v>
      </c>
      <c r="Q10" s="43">
        <v>57</v>
      </c>
      <c r="R10" s="38">
        <v>287.29</v>
      </c>
      <c r="S10" s="43">
        <v>137</v>
      </c>
      <c r="T10" s="38"/>
      <c r="U10" s="43"/>
    </row>
    <row r="11" spans="1:21" ht="15">
      <c r="A11" s="2" t="s">
        <v>13</v>
      </c>
      <c r="B11" s="35"/>
      <c r="C11" s="43"/>
      <c r="D11" s="38"/>
      <c r="E11" s="41"/>
      <c r="F11" s="38"/>
      <c r="G11" s="41"/>
      <c r="H11" s="90"/>
      <c r="I11" s="43"/>
      <c r="J11" s="90">
        <v>96</v>
      </c>
      <c r="K11" s="43">
        <v>92.4</v>
      </c>
      <c r="L11" s="38">
        <v>104.32</v>
      </c>
      <c r="M11" s="43">
        <v>111.1</v>
      </c>
      <c r="N11" s="38">
        <v>121.11</v>
      </c>
      <c r="O11" s="43">
        <v>110.2</v>
      </c>
      <c r="P11" s="38">
        <v>92.98</v>
      </c>
      <c r="Q11" s="43">
        <v>57.5</v>
      </c>
      <c r="R11" s="38">
        <v>189.78</v>
      </c>
      <c r="S11" s="43">
        <v>90.5</v>
      </c>
      <c r="T11" s="38"/>
      <c r="U11" s="43"/>
    </row>
    <row r="12" spans="1:21" ht="15">
      <c r="A12" s="2" t="s">
        <v>14</v>
      </c>
      <c r="B12" s="35">
        <v>0</v>
      </c>
      <c r="C12" s="43"/>
      <c r="D12" s="38"/>
      <c r="E12" s="41"/>
      <c r="F12" s="38">
        <v>235.51</v>
      </c>
      <c r="G12" s="41">
        <v>245.4</v>
      </c>
      <c r="H12" s="90">
        <v>174.34</v>
      </c>
      <c r="I12" s="43">
        <v>167.8</v>
      </c>
      <c r="J12" s="90">
        <v>70.44</v>
      </c>
      <c r="K12" s="43">
        <v>67.8</v>
      </c>
      <c r="L12" s="38">
        <v>15.5</v>
      </c>
      <c r="M12" s="43">
        <v>14.1</v>
      </c>
      <c r="N12" s="38">
        <v>19.34</v>
      </c>
      <c r="O12" s="43">
        <v>17.6</v>
      </c>
      <c r="P12" s="38">
        <v>30.4</v>
      </c>
      <c r="Q12" s="43">
        <v>18.8</v>
      </c>
      <c r="R12" s="38">
        <v>145.11</v>
      </c>
      <c r="S12" s="43">
        <v>69.2</v>
      </c>
      <c r="T12" s="38"/>
      <c r="U12" s="43"/>
    </row>
    <row r="13" spans="1:21" ht="15">
      <c r="A13" s="2" t="s">
        <v>15</v>
      </c>
      <c r="B13" s="35">
        <v>0</v>
      </c>
      <c r="C13" s="43">
        <v>0</v>
      </c>
      <c r="D13" s="38"/>
      <c r="E13" s="41"/>
      <c r="F13" s="38"/>
      <c r="G13" s="41"/>
      <c r="H13" s="90"/>
      <c r="I13" s="43"/>
      <c r="J13" s="90">
        <v>0</v>
      </c>
      <c r="K13" s="43">
        <v>0</v>
      </c>
      <c r="L13" s="38">
        <v>28.13</v>
      </c>
      <c r="M13" s="43">
        <v>25.6</v>
      </c>
      <c r="N13" s="38">
        <v>24.95</v>
      </c>
      <c r="O13" s="43">
        <v>22.6</v>
      </c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/>
      <c r="C14" s="43"/>
      <c r="D14" s="38"/>
      <c r="E14" s="41"/>
      <c r="F14" s="38"/>
      <c r="G14" s="41"/>
      <c r="H14" s="90">
        <v>22.55</v>
      </c>
      <c r="I14" s="43">
        <v>21.7</v>
      </c>
      <c r="J14" s="90">
        <v>43.01</v>
      </c>
      <c r="K14" s="43">
        <v>45.8</v>
      </c>
      <c r="L14" s="38"/>
      <c r="M14" s="43"/>
      <c r="N14" s="38">
        <v>24.62</v>
      </c>
      <c r="O14" s="43">
        <v>22.3</v>
      </c>
      <c r="P14" s="38">
        <v>82.62</v>
      </c>
      <c r="Q14" s="43">
        <v>39.4</v>
      </c>
      <c r="R14" s="38">
        <v>151.29</v>
      </c>
      <c r="S14" s="43">
        <v>61.5</v>
      </c>
      <c r="T14" s="38"/>
      <c r="U14" s="43"/>
    </row>
    <row r="15" spans="1:21" ht="15">
      <c r="A15" s="2" t="s">
        <v>17</v>
      </c>
      <c r="B15" s="35"/>
      <c r="C15" s="43"/>
      <c r="D15" s="38"/>
      <c r="E15" s="41"/>
      <c r="F15" s="38">
        <v>15.71</v>
      </c>
      <c r="G15" s="41">
        <v>15.8</v>
      </c>
      <c r="H15" s="90"/>
      <c r="I15" s="43"/>
      <c r="J15" s="90">
        <v>0</v>
      </c>
      <c r="K15" s="43">
        <v>0</v>
      </c>
      <c r="L15" s="38">
        <v>68.03</v>
      </c>
      <c r="M15" s="43">
        <v>61.9</v>
      </c>
      <c r="N15" s="38"/>
      <c r="O15" s="43"/>
      <c r="P15" s="38"/>
      <c r="Q15" s="43"/>
      <c r="R15" s="38"/>
      <c r="S15" s="43"/>
      <c r="T15" s="38"/>
      <c r="U15" s="43"/>
    </row>
    <row r="16" spans="1:21" ht="15">
      <c r="A16" s="2" t="s">
        <v>18</v>
      </c>
      <c r="B16" s="35"/>
      <c r="C16" s="43"/>
      <c r="D16" s="38"/>
      <c r="E16" s="41"/>
      <c r="F16" s="38">
        <v>93.44</v>
      </c>
      <c r="G16" s="41">
        <v>94</v>
      </c>
      <c r="H16" s="90">
        <v>103.9</v>
      </c>
      <c r="I16" s="43">
        <v>100</v>
      </c>
      <c r="J16" s="90">
        <v>102.35</v>
      </c>
      <c r="K16" s="43">
        <v>109</v>
      </c>
      <c r="L16" s="38"/>
      <c r="M16" s="43"/>
      <c r="N16" s="38">
        <v>117.57</v>
      </c>
      <c r="O16" s="43">
        <v>70.4</v>
      </c>
      <c r="P16" s="38">
        <v>371.17</v>
      </c>
      <c r="Q16" s="43">
        <v>177</v>
      </c>
      <c r="R16" s="38">
        <v>283.15</v>
      </c>
      <c r="S16" s="43">
        <v>115.1</v>
      </c>
      <c r="T16" s="38"/>
      <c r="U16" s="43"/>
    </row>
    <row r="17" spans="1:21" ht="15">
      <c r="A17" s="2" t="s">
        <v>19</v>
      </c>
      <c r="B17" s="35"/>
      <c r="C17" s="43"/>
      <c r="D17" s="38"/>
      <c r="E17" s="41"/>
      <c r="F17" s="38">
        <v>199.39</v>
      </c>
      <c r="G17" s="41">
        <v>200.6</v>
      </c>
      <c r="H17" s="90">
        <v>138.92</v>
      </c>
      <c r="I17" s="43">
        <v>133.7</v>
      </c>
      <c r="J17" s="90">
        <v>140.47</v>
      </c>
      <c r="K17" s="43">
        <v>149.6</v>
      </c>
      <c r="L17" s="38">
        <v>188.81</v>
      </c>
      <c r="M17" s="43">
        <v>171.8</v>
      </c>
      <c r="N17" s="38">
        <v>130.98</v>
      </c>
      <c r="O17" s="43">
        <v>81</v>
      </c>
      <c r="P17" s="38">
        <v>195.44</v>
      </c>
      <c r="Q17" s="43">
        <v>93.2</v>
      </c>
      <c r="R17" s="38">
        <f>61.01+138.5</f>
        <v>199.51</v>
      </c>
      <c r="S17" s="43">
        <f>24.8+56.3</f>
        <v>81.1</v>
      </c>
      <c r="T17" s="38"/>
      <c r="U17" s="43"/>
    </row>
    <row r="18" spans="1:21" ht="15.75" thickBot="1">
      <c r="A18" s="2" t="s">
        <v>20</v>
      </c>
      <c r="B18" s="99"/>
      <c r="C18" s="86"/>
      <c r="D18" s="38">
        <v>0</v>
      </c>
      <c r="E18" s="41">
        <v>0</v>
      </c>
      <c r="F18" s="38">
        <v>150</v>
      </c>
      <c r="G18" s="41">
        <v>150.9</v>
      </c>
      <c r="H18" s="90">
        <v>79.28</v>
      </c>
      <c r="I18" s="43">
        <v>76.3</v>
      </c>
      <c r="J18" s="90">
        <v>75.4</v>
      </c>
      <c r="K18" s="43">
        <v>80.3</v>
      </c>
      <c r="L18" s="38">
        <v>45.17</v>
      </c>
      <c r="M18" s="43">
        <v>41.1</v>
      </c>
      <c r="N18" s="38">
        <f>164.13+146.02</f>
        <v>310.15</v>
      </c>
      <c r="O18" s="43">
        <f>101.5+90.3</f>
        <v>191.8</v>
      </c>
      <c r="P18" s="38">
        <v>139.03</v>
      </c>
      <c r="Q18" s="43">
        <v>66.3</v>
      </c>
      <c r="R18" s="38">
        <f>119.06+114.14+108.98</f>
        <v>342.18</v>
      </c>
      <c r="S18" s="43">
        <f>48.4+46.4+44.3</f>
        <v>139.1</v>
      </c>
      <c r="T18" s="38"/>
      <c r="U18" s="43"/>
    </row>
    <row r="19" spans="1:21" s="1" customFormat="1" ht="15.75" thickBot="1">
      <c r="A19" s="2" t="s">
        <v>21</v>
      </c>
      <c r="B19" s="37">
        <f aca="true" t="shared" si="0" ref="B19:G19">SUM(B7:B18)</f>
        <v>0</v>
      </c>
      <c r="C19" s="56">
        <f t="shared" si="0"/>
        <v>0</v>
      </c>
      <c r="D19" s="93">
        <f t="shared" si="0"/>
        <v>0</v>
      </c>
      <c r="E19" s="104">
        <f t="shared" si="0"/>
        <v>0</v>
      </c>
      <c r="F19" s="105">
        <f t="shared" si="0"/>
        <v>694.05</v>
      </c>
      <c r="G19" s="94">
        <f t="shared" si="0"/>
        <v>706.6999999999999</v>
      </c>
      <c r="H19" s="106">
        <f aca="true" t="shared" si="1" ref="H19:M19">SUM(H7:H18)</f>
        <v>918.6799999999998</v>
      </c>
      <c r="I19" s="52">
        <f t="shared" si="1"/>
        <v>901.6000000000001</v>
      </c>
      <c r="J19" s="106">
        <f t="shared" si="1"/>
        <v>812.67</v>
      </c>
      <c r="K19" s="52">
        <f t="shared" si="1"/>
        <v>819.2</v>
      </c>
      <c r="L19" s="133">
        <f t="shared" si="1"/>
        <v>1001.16</v>
      </c>
      <c r="M19" s="89">
        <f t="shared" si="1"/>
        <v>1010.6</v>
      </c>
      <c r="N19" s="133">
        <f aca="true" t="shared" si="2" ref="N19:S19">SUM(N7:N18)</f>
        <v>1538.1400000000003</v>
      </c>
      <c r="O19" s="89">
        <f t="shared" si="2"/>
        <v>1234.2</v>
      </c>
      <c r="P19" s="133">
        <f t="shared" si="2"/>
        <v>1510.25</v>
      </c>
      <c r="Q19" s="89">
        <f t="shared" si="2"/>
        <v>822.4</v>
      </c>
      <c r="R19" s="133">
        <f t="shared" si="2"/>
        <v>2752.98</v>
      </c>
      <c r="S19" s="89">
        <f t="shared" si="2"/>
        <v>1242.6999999999998</v>
      </c>
      <c r="T19" s="133">
        <f>SUM(T7:T18)</f>
        <v>982.03</v>
      </c>
      <c r="U19" s="89">
        <f>SUM(U7:U18)</f>
        <v>399.2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M19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M11" sqref="M11"/>
    </sheetView>
  </sheetViews>
  <sheetFormatPr defaultColWidth="11.5546875" defaultRowHeight="15"/>
  <cols>
    <col min="1" max="1" width="14.3359375" style="136" bestFit="1" customWidth="1"/>
    <col min="2" max="3" width="8.88671875" style="136" customWidth="1"/>
    <col min="4" max="4" width="9.88671875" style="136" customWidth="1"/>
    <col min="5" max="5" width="8.88671875" style="136" customWidth="1"/>
    <col min="6" max="6" width="9.6640625" style="136" customWidth="1"/>
    <col min="7" max="7" width="8.88671875" style="136" customWidth="1"/>
    <col min="8" max="8" width="10.88671875" style="136" customWidth="1"/>
    <col min="9" max="9" width="8.88671875" style="136" customWidth="1"/>
    <col min="10" max="10" width="10.6640625" style="136" customWidth="1"/>
    <col min="11" max="11" width="8.88671875" style="136" customWidth="1"/>
    <col min="12" max="12" width="9.6640625" style="136" customWidth="1"/>
    <col min="13" max="16384" width="8.88671875" style="136" customWidth="1"/>
  </cols>
  <sheetData>
    <row r="1" spans="1:4" ht="15">
      <c r="A1" s="173" t="s">
        <v>32</v>
      </c>
      <c r="B1" s="135"/>
      <c r="D1" s="135"/>
    </row>
    <row r="2" spans="1:4" ht="15.75" thickBot="1">
      <c r="A2" s="134"/>
      <c r="B2" s="135"/>
      <c r="D2" s="135"/>
    </row>
    <row r="3" spans="1:13" ht="15">
      <c r="A3" s="172"/>
      <c r="B3" s="137">
        <v>2002</v>
      </c>
      <c r="C3" s="138"/>
      <c r="D3" s="139">
        <v>2003</v>
      </c>
      <c r="E3" s="140"/>
      <c r="F3" s="139">
        <v>2004</v>
      </c>
      <c r="G3" s="140"/>
      <c r="H3" s="139">
        <v>2005</v>
      </c>
      <c r="I3" s="140"/>
      <c r="J3" s="139">
        <v>2006</v>
      </c>
      <c r="K3" s="140"/>
      <c r="L3" s="139">
        <v>2007</v>
      </c>
      <c r="M3" s="140"/>
    </row>
    <row r="4" spans="1:13" ht="15">
      <c r="A4" s="141"/>
      <c r="B4" s="143" t="s">
        <v>5</v>
      </c>
      <c r="C4" s="142"/>
      <c r="D4" s="143" t="s">
        <v>5</v>
      </c>
      <c r="E4" s="142"/>
      <c r="F4" s="143" t="s">
        <v>5</v>
      </c>
      <c r="G4" s="142"/>
      <c r="H4" s="143" t="s">
        <v>5</v>
      </c>
      <c r="I4" s="142"/>
      <c r="J4" s="143" t="s">
        <v>5</v>
      </c>
      <c r="K4" s="142"/>
      <c r="L4" s="143" t="s">
        <v>5</v>
      </c>
      <c r="M4" s="142"/>
    </row>
    <row r="5" spans="1:13" ht="15">
      <c r="A5" s="141" t="s">
        <v>22</v>
      </c>
      <c r="B5" s="143" t="s">
        <v>8</v>
      </c>
      <c r="C5" s="142" t="s">
        <v>7</v>
      </c>
      <c r="D5" s="143" t="s">
        <v>8</v>
      </c>
      <c r="E5" s="142" t="s">
        <v>7</v>
      </c>
      <c r="F5" s="143" t="s">
        <v>8</v>
      </c>
      <c r="G5" s="142" t="s">
        <v>7</v>
      </c>
      <c r="H5" s="143" t="s">
        <v>8</v>
      </c>
      <c r="I5" s="142" t="s">
        <v>7</v>
      </c>
      <c r="J5" s="143" t="s">
        <v>8</v>
      </c>
      <c r="K5" s="142" t="s">
        <v>7</v>
      </c>
      <c r="L5" s="143" t="s">
        <v>8</v>
      </c>
      <c r="M5" s="142" t="s">
        <v>7</v>
      </c>
    </row>
    <row r="6" spans="1:13" ht="15">
      <c r="A6" s="141"/>
      <c r="B6" s="143"/>
      <c r="C6" s="142"/>
      <c r="D6" s="143"/>
      <c r="E6" s="142"/>
      <c r="F6" s="143"/>
      <c r="G6" s="142"/>
      <c r="H6" s="143"/>
      <c r="I6" s="142"/>
      <c r="J6" s="143"/>
      <c r="K6" s="142"/>
      <c r="L6" s="143"/>
      <c r="M6" s="142"/>
    </row>
    <row r="7" spans="1:13" ht="15">
      <c r="A7" s="144" t="s">
        <v>9</v>
      </c>
      <c r="B7" s="147"/>
      <c r="C7" s="145"/>
      <c r="D7" s="146">
        <v>429.88</v>
      </c>
      <c r="E7" s="145">
        <v>457.8</v>
      </c>
      <c r="F7" s="146">
        <v>344.32</v>
      </c>
      <c r="G7" s="145">
        <v>313.3</v>
      </c>
      <c r="H7" s="146">
        <f>104.3+133.73</f>
        <v>238.02999999999997</v>
      </c>
      <c r="I7" s="145">
        <f>64.5+82.7</f>
        <v>147.2</v>
      </c>
      <c r="J7" s="146">
        <v>628.05</v>
      </c>
      <c r="K7" s="145">
        <v>299.5</v>
      </c>
      <c r="L7" s="146">
        <f>201.47+205.41+404.18</f>
        <v>811.06</v>
      </c>
      <c r="M7" s="145">
        <f>81.9+83.5+164.3</f>
        <v>329.70000000000005</v>
      </c>
    </row>
    <row r="8" spans="1:13" ht="15">
      <c r="A8" s="144" t="s">
        <v>10</v>
      </c>
      <c r="B8" s="147"/>
      <c r="C8" s="145"/>
      <c r="D8" s="146">
        <v>304.14</v>
      </c>
      <c r="E8" s="145">
        <v>323.9</v>
      </c>
      <c r="F8" s="146">
        <v>394.32</v>
      </c>
      <c r="G8" s="145">
        <v>358.8</v>
      </c>
      <c r="H8" s="146">
        <f>126.29+137.77</f>
        <v>264.06</v>
      </c>
      <c r="I8" s="145">
        <f>78.1+85.2</f>
        <v>163.3</v>
      </c>
      <c r="J8" s="146">
        <v>453.16</v>
      </c>
      <c r="K8" s="145">
        <v>216.1</v>
      </c>
      <c r="L8" s="146">
        <f>274.04+336.28</f>
        <v>610.3199999999999</v>
      </c>
      <c r="M8" s="145">
        <f>111.4+136.7</f>
        <v>248.1</v>
      </c>
    </row>
    <row r="9" spans="1:13" ht="15">
      <c r="A9" s="144" t="s">
        <v>11</v>
      </c>
      <c r="B9" s="147"/>
      <c r="C9" s="145"/>
      <c r="D9" s="146">
        <v>119.25</v>
      </c>
      <c r="E9" s="145">
        <v>127</v>
      </c>
      <c r="F9" s="146">
        <v>202.22</v>
      </c>
      <c r="G9" s="145">
        <v>184</v>
      </c>
      <c r="H9" s="146">
        <v>464.89</v>
      </c>
      <c r="I9" s="145">
        <v>287.5</v>
      </c>
      <c r="J9" s="146">
        <v>627.21</v>
      </c>
      <c r="K9" s="145">
        <v>299.1</v>
      </c>
      <c r="L9" s="146">
        <f>189.17+430.01+99.88</f>
        <v>719.06</v>
      </c>
      <c r="M9" s="145">
        <f>76.9+174.8+40.6</f>
        <v>292.3</v>
      </c>
    </row>
    <row r="10" spans="1:13" ht="15">
      <c r="A10" s="144" t="s">
        <v>23</v>
      </c>
      <c r="B10" s="147"/>
      <c r="C10" s="145"/>
      <c r="D10" s="146">
        <v>317.94</v>
      </c>
      <c r="E10" s="145">
        <v>388.6</v>
      </c>
      <c r="F10" s="146">
        <v>296.84</v>
      </c>
      <c r="G10" s="145">
        <v>217.7</v>
      </c>
      <c r="H10" s="146">
        <v>330.84</v>
      </c>
      <c r="I10" s="145">
        <v>204.6</v>
      </c>
      <c r="J10" s="146">
        <v>363.41</v>
      </c>
      <c r="K10" s="145">
        <v>173.3</v>
      </c>
      <c r="L10" s="146">
        <v>184.01</v>
      </c>
      <c r="M10" s="145">
        <v>74.8</v>
      </c>
    </row>
    <row r="11" spans="1:13" ht="15">
      <c r="A11" s="144" t="s">
        <v>13</v>
      </c>
      <c r="B11" s="147"/>
      <c r="C11" s="145"/>
      <c r="D11" s="146">
        <v>163.86</v>
      </c>
      <c r="E11" s="145">
        <v>174.5</v>
      </c>
      <c r="F11" s="146">
        <v>175.4</v>
      </c>
      <c r="G11" s="145">
        <v>159.6</v>
      </c>
      <c r="H11" s="146">
        <v>254.2</v>
      </c>
      <c r="I11" s="145">
        <v>157.2</v>
      </c>
      <c r="J11" s="146">
        <v>243.88</v>
      </c>
      <c r="K11" s="145">
        <v>116.3</v>
      </c>
      <c r="L11" s="146"/>
      <c r="M11" s="145"/>
    </row>
    <row r="12" spans="1:13" ht="15">
      <c r="A12" s="144" t="s">
        <v>14</v>
      </c>
      <c r="B12" s="147"/>
      <c r="C12" s="145"/>
      <c r="D12" s="146">
        <v>41.76</v>
      </c>
      <c r="E12" s="145">
        <v>38</v>
      </c>
      <c r="F12" s="146">
        <v>85.39</v>
      </c>
      <c r="G12" s="145">
        <v>77.7</v>
      </c>
      <c r="H12" s="146">
        <v>179.97</v>
      </c>
      <c r="I12" s="145">
        <v>111.3</v>
      </c>
      <c r="J12" s="146">
        <v>205.51</v>
      </c>
      <c r="K12" s="145">
        <v>98</v>
      </c>
      <c r="L12" s="146"/>
      <c r="M12" s="145"/>
    </row>
    <row r="13" spans="1:13" ht="15">
      <c r="A13" s="144" t="s">
        <v>15</v>
      </c>
      <c r="B13" s="147"/>
      <c r="C13" s="145"/>
      <c r="D13" s="146">
        <v>76.6</v>
      </c>
      <c r="E13" s="145">
        <v>69.7</v>
      </c>
      <c r="F13" s="146">
        <v>73.74</v>
      </c>
      <c r="G13" s="145">
        <v>66.8</v>
      </c>
      <c r="H13" s="146"/>
      <c r="I13" s="145"/>
      <c r="J13" s="146"/>
      <c r="K13" s="145"/>
      <c r="L13" s="146"/>
      <c r="M13" s="145"/>
    </row>
    <row r="14" spans="1:13" ht="15">
      <c r="A14" s="144" t="s">
        <v>16</v>
      </c>
      <c r="B14" s="147">
        <v>514.2</v>
      </c>
      <c r="C14" s="145">
        <v>547.6</v>
      </c>
      <c r="D14" s="146"/>
      <c r="E14" s="145"/>
      <c r="F14" s="146">
        <v>74.95</v>
      </c>
      <c r="G14" s="145">
        <v>68.2</v>
      </c>
      <c r="H14" s="146">
        <v>616.52</v>
      </c>
      <c r="I14" s="145">
        <v>294</v>
      </c>
      <c r="J14" s="146">
        <v>332.1</v>
      </c>
      <c r="K14" s="145">
        <v>135</v>
      </c>
      <c r="L14" s="146"/>
      <c r="M14" s="145"/>
    </row>
    <row r="15" spans="1:13" ht="15">
      <c r="A15" s="144" t="s">
        <v>17</v>
      </c>
      <c r="B15" s="147"/>
      <c r="C15" s="145"/>
      <c r="D15" s="146">
        <v>131.55</v>
      </c>
      <c r="E15" s="145">
        <v>119.7</v>
      </c>
      <c r="F15" s="146"/>
      <c r="G15" s="145"/>
      <c r="H15" s="146"/>
      <c r="I15" s="145"/>
      <c r="J15" s="146"/>
      <c r="K15" s="145"/>
      <c r="L15" s="146"/>
      <c r="M15" s="145"/>
    </row>
    <row r="16" spans="1:13" ht="15">
      <c r="A16" s="144" t="s">
        <v>18</v>
      </c>
      <c r="B16" s="147">
        <v>84.89</v>
      </c>
      <c r="C16" s="145">
        <v>90.4</v>
      </c>
      <c r="D16" s="146"/>
      <c r="E16" s="145"/>
      <c r="F16" s="146">
        <v>235.14</v>
      </c>
      <c r="G16" s="145">
        <v>140.8</v>
      </c>
      <c r="H16" s="146">
        <v>845.51</v>
      </c>
      <c r="I16" s="145">
        <v>403.2</v>
      </c>
      <c r="J16" s="146">
        <v>489.29</v>
      </c>
      <c r="K16" s="145">
        <v>198.9</v>
      </c>
      <c r="L16" s="146"/>
      <c r="M16" s="145"/>
    </row>
    <row r="17" spans="1:13" ht="15">
      <c r="A17" s="144" t="s">
        <v>19</v>
      </c>
      <c r="B17" s="147">
        <v>237.1</v>
      </c>
      <c r="C17" s="145">
        <v>252.5</v>
      </c>
      <c r="D17" s="146">
        <v>330.03</v>
      </c>
      <c r="E17" s="145">
        <v>300.3</v>
      </c>
      <c r="F17" s="146">
        <f>247.7+189.35</f>
        <v>437.04999999999995</v>
      </c>
      <c r="G17" s="145">
        <f>153+117.1</f>
        <v>270.1</v>
      </c>
      <c r="H17" s="146">
        <v>272.82</v>
      </c>
      <c r="I17" s="145">
        <v>130.1</v>
      </c>
      <c r="J17" s="146">
        <f>131.86+285.85</f>
        <v>417.71000000000004</v>
      </c>
      <c r="K17" s="145">
        <f>53.6+116.2</f>
        <v>169.8</v>
      </c>
      <c r="L17" s="146"/>
      <c r="M17" s="145"/>
    </row>
    <row r="18" spans="1:13" ht="15.75" thickBot="1">
      <c r="A18" s="144" t="s">
        <v>20</v>
      </c>
      <c r="B18" s="147">
        <v>137.09</v>
      </c>
      <c r="C18" s="145">
        <v>146</v>
      </c>
      <c r="D18" s="146">
        <v>377.4</v>
      </c>
      <c r="E18" s="145">
        <v>343.4</v>
      </c>
      <c r="F18" s="146">
        <f>167.2+169.3+118.36</f>
        <v>454.86</v>
      </c>
      <c r="G18" s="145">
        <f>103.4+104.7+73.2</f>
        <v>281.3</v>
      </c>
      <c r="H18" s="146">
        <v>941.77</v>
      </c>
      <c r="I18" s="145">
        <v>449.1</v>
      </c>
      <c r="J18" s="146">
        <f>249.2+206.89+262.97</f>
        <v>719.06</v>
      </c>
      <c r="K18" s="145">
        <f>101.3+84.1+106.9</f>
        <v>292.29999999999995</v>
      </c>
      <c r="L18" s="146"/>
      <c r="M18" s="145"/>
    </row>
    <row r="19" spans="1:13" ht="15.75" thickBot="1">
      <c r="A19" s="144" t="s">
        <v>21</v>
      </c>
      <c r="B19" s="148"/>
      <c r="C19" s="96"/>
      <c r="D19" s="149">
        <f aca="true" t="shared" si="0" ref="D19:K19">SUM(D7:D18)</f>
        <v>2292.41</v>
      </c>
      <c r="E19" s="150">
        <f t="shared" si="0"/>
        <v>2342.9</v>
      </c>
      <c r="F19" s="149">
        <f t="shared" si="0"/>
        <v>2774.23</v>
      </c>
      <c r="G19" s="150">
        <f t="shared" si="0"/>
        <v>2138.3</v>
      </c>
      <c r="H19" s="149">
        <f t="shared" si="0"/>
        <v>4408.610000000001</v>
      </c>
      <c r="I19" s="150">
        <f t="shared" si="0"/>
        <v>2347.5</v>
      </c>
      <c r="J19" s="149">
        <f t="shared" si="0"/>
        <v>4479.38</v>
      </c>
      <c r="K19" s="150">
        <f t="shared" si="0"/>
        <v>1998.3</v>
      </c>
      <c r="L19" s="149">
        <f>SUM(L7:L18)</f>
        <v>2324.45</v>
      </c>
      <c r="M19" s="150">
        <f>SUM(M7:M18)</f>
        <v>944.9000000000001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9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V10" sqref="V10"/>
    </sheetView>
  </sheetViews>
  <sheetFormatPr defaultColWidth="11.5546875" defaultRowHeight="15"/>
  <cols>
    <col min="1" max="1" width="13.6640625" style="3" bestFit="1" customWidth="1"/>
    <col min="2" max="2" width="8.6640625" style="7" bestFit="1" customWidth="1"/>
    <col min="3" max="3" width="9.6640625" style="0" bestFit="1" customWidth="1"/>
    <col min="4" max="4" width="9.6640625" style="8" bestFit="1" customWidth="1"/>
    <col min="5" max="7" width="9.6640625" style="0" bestFit="1" customWidth="1"/>
    <col min="8" max="8" width="10.3359375" style="111" bestFit="1" customWidth="1"/>
    <col min="9" max="9" width="8.4453125" style="0" bestFit="1" customWidth="1"/>
    <col min="10" max="10" width="10.3359375" style="0" bestFit="1" customWidth="1"/>
    <col min="11" max="11" width="8.4453125" style="0" bestFit="1" customWidth="1"/>
    <col min="12" max="17" width="9.6640625" style="0" bestFit="1" customWidth="1"/>
    <col min="19" max="20" width="9.6640625" style="0" bestFit="1" customWidth="1"/>
    <col min="21" max="16384" width="8.6640625" style="0" customWidth="1"/>
  </cols>
  <sheetData>
    <row r="1" ht="15">
      <c r="A1" s="153" t="s">
        <v>30</v>
      </c>
    </row>
    <row r="2" ht="15.75" thickBot="1"/>
    <row r="3" spans="1:21" s="5" customFormat="1" ht="16.5">
      <c r="A3" s="155"/>
      <c r="B3" s="45">
        <v>1998</v>
      </c>
      <c r="C3" s="46"/>
      <c r="D3" s="26">
        <v>1999</v>
      </c>
      <c r="E3" s="28"/>
      <c r="F3" s="26">
        <v>2000</v>
      </c>
      <c r="G3" s="28"/>
      <c r="H3" s="118">
        <v>2001</v>
      </c>
      <c r="I3" s="46"/>
      <c r="J3" s="118" t="s">
        <v>33</v>
      </c>
      <c r="K3" s="46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5" customFormat="1" ht="15">
      <c r="A4" s="4"/>
      <c r="B4" s="50" t="s">
        <v>5</v>
      </c>
      <c r="C4" s="34"/>
      <c r="D4" s="29" t="s">
        <v>5</v>
      </c>
      <c r="E4" s="31"/>
      <c r="F4" s="29" t="s">
        <v>5</v>
      </c>
      <c r="G4" s="31"/>
      <c r="H4" s="112" t="s">
        <v>5</v>
      </c>
      <c r="I4" s="34"/>
      <c r="J4" s="112" t="s">
        <v>5</v>
      </c>
      <c r="K4" s="34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5" customFormat="1" ht="15">
      <c r="A5" s="4" t="s">
        <v>22</v>
      </c>
      <c r="B5" s="51" t="s">
        <v>8</v>
      </c>
      <c r="C5" s="34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112" t="s">
        <v>8</v>
      </c>
      <c r="I5" s="34" t="s">
        <v>27</v>
      </c>
      <c r="J5" s="112" t="s">
        <v>8</v>
      </c>
      <c r="K5" s="34" t="s">
        <v>27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51"/>
      <c r="C6" s="34"/>
      <c r="D6" s="32"/>
      <c r="E6" s="34"/>
      <c r="F6" s="32"/>
      <c r="G6" s="34"/>
      <c r="H6" s="112"/>
      <c r="I6" s="34"/>
      <c r="J6" s="112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/>
      <c r="C7" s="43">
        <v>0</v>
      </c>
      <c r="D7" s="38">
        <v>524.45</v>
      </c>
      <c r="E7" s="41">
        <v>1038.4</v>
      </c>
      <c r="F7" s="38">
        <v>1111.36</v>
      </c>
      <c r="G7" s="41">
        <v>1250.4</v>
      </c>
      <c r="H7" s="113">
        <v>728.2</v>
      </c>
      <c r="I7" s="83">
        <v>732.6</v>
      </c>
      <c r="J7" s="113">
        <v>755.87</v>
      </c>
      <c r="K7" s="83">
        <v>325.6</v>
      </c>
      <c r="L7" s="38">
        <v>994.21</v>
      </c>
      <c r="M7" s="43">
        <v>1058</v>
      </c>
      <c r="N7" s="38">
        <v>949.54</v>
      </c>
      <c r="O7" s="43">
        <v>864</v>
      </c>
      <c r="P7" s="38">
        <f>279.74+323.56</f>
        <v>603.3</v>
      </c>
      <c r="Q7" s="43">
        <f>173+200.1</f>
        <v>373.1</v>
      </c>
      <c r="R7" s="38">
        <v>1545.7</v>
      </c>
      <c r="S7" s="43">
        <v>737.1</v>
      </c>
      <c r="T7" s="38">
        <f>517.58+435.91+1300.11</f>
        <v>2253.6</v>
      </c>
      <c r="U7" s="43">
        <f>210.4+177.2+528.5</f>
        <v>916.1</v>
      </c>
    </row>
    <row r="8" spans="1:21" ht="15">
      <c r="A8" s="2" t="s">
        <v>10</v>
      </c>
      <c r="B8" s="35"/>
      <c r="C8" s="43"/>
      <c r="D8" s="38"/>
      <c r="E8" s="41"/>
      <c r="F8" s="38">
        <v>1371.99</v>
      </c>
      <c r="G8" s="41">
        <v>890.9</v>
      </c>
      <c r="H8" s="114"/>
      <c r="I8" s="43"/>
      <c r="J8" s="114">
        <v>803.36</v>
      </c>
      <c r="K8" s="43">
        <v>773.2</v>
      </c>
      <c r="L8" s="38">
        <v>657.39</v>
      </c>
      <c r="M8" s="43">
        <v>700.1</v>
      </c>
      <c r="N8" s="38">
        <v>1171.53</v>
      </c>
      <c r="O8" s="43">
        <v>1066</v>
      </c>
      <c r="P8" s="38">
        <f>485.1+399.4</f>
        <v>884.5</v>
      </c>
      <c r="Q8" s="43">
        <f>300+247</f>
        <v>547</v>
      </c>
      <c r="R8" s="38">
        <v>1244.99</v>
      </c>
      <c r="S8" s="43">
        <v>593.7</v>
      </c>
      <c r="T8" s="38">
        <f>953+1119.3</f>
        <v>2072.3</v>
      </c>
      <c r="U8" s="43">
        <f>387.4+455</f>
        <v>842.4</v>
      </c>
    </row>
    <row r="9" spans="1:21" ht="15">
      <c r="A9" s="2" t="s">
        <v>11</v>
      </c>
      <c r="B9" s="35"/>
      <c r="C9" s="43"/>
      <c r="D9" s="38">
        <v>728.32</v>
      </c>
      <c r="E9" s="41">
        <v>1420</v>
      </c>
      <c r="F9" s="38">
        <v>1039.72</v>
      </c>
      <c r="G9" s="41">
        <v>1036.2</v>
      </c>
      <c r="H9" s="114">
        <v>1088.63</v>
      </c>
      <c r="I9" s="43">
        <v>1095.2</v>
      </c>
      <c r="J9" s="114">
        <v>435.03</v>
      </c>
      <c r="K9" s="43">
        <v>418.7</v>
      </c>
      <c r="L9" s="38">
        <v>739.18</v>
      </c>
      <c r="M9" s="43">
        <v>787.2</v>
      </c>
      <c r="N9" s="38">
        <v>254.44</v>
      </c>
      <c r="O9" s="43">
        <v>413.5</v>
      </c>
      <c r="P9" s="38">
        <v>1559.76</v>
      </c>
      <c r="Q9" s="43">
        <v>964.6</v>
      </c>
      <c r="R9" s="38">
        <v>1681.37</v>
      </c>
      <c r="S9" s="43">
        <v>801.8</v>
      </c>
      <c r="T9" s="38">
        <f>558.17+645.01+760.14+419.92</f>
        <v>2383.24</v>
      </c>
      <c r="U9" s="43">
        <f>226.9+262.2+309+170.7</f>
        <v>968.8</v>
      </c>
    </row>
    <row r="10" spans="1:21" ht="15">
      <c r="A10" s="2" t="s">
        <v>23</v>
      </c>
      <c r="B10" s="35"/>
      <c r="C10" s="43"/>
      <c r="D10" s="38">
        <v>393.29</v>
      </c>
      <c r="E10" s="41">
        <v>659</v>
      </c>
      <c r="F10" s="38">
        <v>0</v>
      </c>
      <c r="G10" s="41">
        <v>0</v>
      </c>
      <c r="H10" s="114"/>
      <c r="I10" s="43"/>
      <c r="J10" s="114">
        <v>480.02</v>
      </c>
      <c r="K10" s="43">
        <v>462</v>
      </c>
      <c r="L10" s="38">
        <v>521.52</v>
      </c>
      <c r="M10" s="43">
        <v>555.4</v>
      </c>
      <c r="N10" s="38">
        <v>590.49</v>
      </c>
      <c r="O10" s="43">
        <v>590.49</v>
      </c>
      <c r="P10" s="38">
        <v>648.43</v>
      </c>
      <c r="Q10" s="43">
        <v>401</v>
      </c>
      <c r="R10" s="38">
        <v>944.91</v>
      </c>
      <c r="S10" s="43">
        <v>450.6</v>
      </c>
      <c r="T10" s="38">
        <v>605.9</v>
      </c>
      <c r="U10" s="43">
        <v>246.3</v>
      </c>
    </row>
    <row r="11" spans="1:21" ht="15">
      <c r="A11" s="2" t="s">
        <v>13</v>
      </c>
      <c r="B11" s="35"/>
      <c r="C11" s="43"/>
      <c r="D11" s="38"/>
      <c r="E11" s="41"/>
      <c r="F11" s="38">
        <v>0</v>
      </c>
      <c r="G11" s="41">
        <v>0</v>
      </c>
      <c r="H11" s="114"/>
      <c r="I11" s="43"/>
      <c r="J11" s="114">
        <v>475.96</v>
      </c>
      <c r="K11" s="43">
        <v>458.1</v>
      </c>
      <c r="L11" s="38">
        <v>336.54</v>
      </c>
      <c r="M11" s="43">
        <v>258.4</v>
      </c>
      <c r="N11" s="38">
        <v>311.01</v>
      </c>
      <c r="O11" s="43">
        <v>283</v>
      </c>
      <c r="P11" s="38"/>
      <c r="Q11" s="43"/>
      <c r="R11" s="38">
        <v>522.57</v>
      </c>
      <c r="S11" s="43">
        <v>249.2</v>
      </c>
      <c r="T11" s="38"/>
      <c r="U11" s="43"/>
    </row>
    <row r="12" spans="1:21" ht="15">
      <c r="A12" s="2" t="s">
        <v>14</v>
      </c>
      <c r="B12" s="35"/>
      <c r="C12" s="43"/>
      <c r="D12" s="38">
        <v>156.85</v>
      </c>
      <c r="E12" s="41">
        <v>276</v>
      </c>
      <c r="F12" s="38">
        <v>888.48</v>
      </c>
      <c r="G12" s="41">
        <v>911.9</v>
      </c>
      <c r="H12" s="114">
        <v>1128.77</v>
      </c>
      <c r="I12" s="43">
        <v>1086.4</v>
      </c>
      <c r="J12" s="114">
        <v>236.72</v>
      </c>
      <c r="K12" s="43">
        <v>252.1</v>
      </c>
      <c r="L12" s="38">
        <v>111.22</v>
      </c>
      <c r="M12" s="43">
        <v>101.2</v>
      </c>
      <c r="N12" s="38">
        <v>3.63</v>
      </c>
      <c r="O12" s="43">
        <v>3.3</v>
      </c>
      <c r="P12" s="38">
        <v>1200.59</v>
      </c>
      <c r="Q12" s="43">
        <v>709.7</v>
      </c>
      <c r="R12" s="38">
        <v>196.7</v>
      </c>
      <c r="S12" s="43">
        <v>93.8</v>
      </c>
      <c r="T12" s="38"/>
      <c r="U12" s="43"/>
    </row>
    <row r="13" spans="1:21" ht="15">
      <c r="A13" s="2" t="s">
        <v>15</v>
      </c>
      <c r="B13" s="35"/>
      <c r="C13" s="43"/>
      <c r="D13" s="38"/>
      <c r="E13" s="41"/>
      <c r="F13" s="38">
        <v>0</v>
      </c>
      <c r="G13" s="41">
        <v>0</v>
      </c>
      <c r="H13" s="114"/>
      <c r="I13" s="43"/>
      <c r="J13" s="114">
        <v>0</v>
      </c>
      <c r="K13" s="43">
        <v>0</v>
      </c>
      <c r="L13" s="38"/>
      <c r="M13" s="43"/>
      <c r="N13" s="38"/>
      <c r="O13" s="43"/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/>
      <c r="C14" s="43"/>
      <c r="D14" s="38"/>
      <c r="E14" s="41"/>
      <c r="F14" s="38">
        <v>0</v>
      </c>
      <c r="G14" s="41">
        <v>0</v>
      </c>
      <c r="H14" s="114">
        <v>56.73</v>
      </c>
      <c r="I14" s="43">
        <v>54.6</v>
      </c>
      <c r="J14" s="114">
        <v>179.54</v>
      </c>
      <c r="K14" s="43">
        <v>191.2</v>
      </c>
      <c r="L14" s="38"/>
      <c r="M14" s="43"/>
      <c r="N14" s="38"/>
      <c r="O14" s="43"/>
      <c r="P14" s="38"/>
      <c r="Q14" s="43"/>
      <c r="R14" s="38">
        <v>922.75</v>
      </c>
      <c r="S14" s="43">
        <v>375.1</v>
      </c>
      <c r="T14" s="38"/>
      <c r="U14" s="43"/>
    </row>
    <row r="15" spans="1:21" ht="15">
      <c r="A15" s="2" t="s">
        <v>17</v>
      </c>
      <c r="B15" s="35"/>
      <c r="C15" s="43"/>
      <c r="D15" s="38"/>
      <c r="E15" s="41"/>
      <c r="F15" s="38">
        <v>0</v>
      </c>
      <c r="G15" s="41">
        <v>0</v>
      </c>
      <c r="H15" s="114"/>
      <c r="I15" s="43"/>
      <c r="J15" s="114">
        <v>0</v>
      </c>
      <c r="K15" s="43">
        <v>0</v>
      </c>
      <c r="L15" s="38">
        <v>169.25</v>
      </c>
      <c r="M15" s="43">
        <v>154</v>
      </c>
      <c r="N15" s="38"/>
      <c r="O15" s="43"/>
      <c r="P15" s="38">
        <v>333</v>
      </c>
      <c r="Q15" s="43">
        <v>158.8</v>
      </c>
      <c r="R15" s="38"/>
      <c r="S15" s="43"/>
      <c r="T15" s="38"/>
      <c r="U15" s="43"/>
    </row>
    <row r="16" spans="1:21" ht="15">
      <c r="A16" s="2" t="s">
        <v>18</v>
      </c>
      <c r="B16" s="35"/>
      <c r="C16" s="43"/>
      <c r="D16" s="38">
        <v>174.73</v>
      </c>
      <c r="E16" s="41">
        <v>227.4</v>
      </c>
      <c r="F16" s="38">
        <v>0</v>
      </c>
      <c r="G16" s="41">
        <v>0</v>
      </c>
      <c r="H16" s="114">
        <v>239.18</v>
      </c>
      <c r="I16" s="43">
        <v>230.2</v>
      </c>
      <c r="J16" s="114">
        <v>215.78</v>
      </c>
      <c r="K16" s="43">
        <v>229.8</v>
      </c>
      <c r="L16" s="38"/>
      <c r="M16" s="43"/>
      <c r="N16" s="38">
        <f>374.08+344.8</f>
        <v>718.88</v>
      </c>
      <c r="O16" s="43">
        <f>224+203.3</f>
        <v>427.3</v>
      </c>
      <c r="P16" s="38"/>
      <c r="Q16" s="43"/>
      <c r="R16" s="38">
        <v>1255.58</v>
      </c>
      <c r="S16" s="43">
        <v>510.4</v>
      </c>
      <c r="T16" s="38"/>
      <c r="U16" s="43"/>
    </row>
    <row r="17" spans="1:21" ht="15">
      <c r="A17" s="2" t="s">
        <v>19</v>
      </c>
      <c r="B17" s="35">
        <v>447.72</v>
      </c>
      <c r="C17" s="43">
        <v>862</v>
      </c>
      <c r="D17" s="38">
        <v>200.1</v>
      </c>
      <c r="E17" s="41">
        <v>172.59</v>
      </c>
      <c r="F17" s="38">
        <v>513.3</v>
      </c>
      <c r="G17" s="41">
        <v>516.4</v>
      </c>
      <c r="H17" s="114">
        <v>595.87</v>
      </c>
      <c r="I17" s="43">
        <v>538.7</v>
      </c>
      <c r="J17" s="114">
        <v>553.35</v>
      </c>
      <c r="K17" s="43">
        <v>589.3</v>
      </c>
      <c r="L17" s="38">
        <v>659.4</v>
      </c>
      <c r="M17" s="43">
        <v>600</v>
      </c>
      <c r="N17" s="38">
        <f>264.7+362.21+205.36</f>
        <v>832.27</v>
      </c>
      <c r="O17" s="43">
        <f>163.7+224+127</f>
        <v>514.7</v>
      </c>
      <c r="P17" s="38">
        <v>636.86</v>
      </c>
      <c r="Q17" s="43">
        <v>303.7</v>
      </c>
      <c r="R17" s="38">
        <f>1022.38+22.63</f>
        <v>1045.01</v>
      </c>
      <c r="S17" s="43">
        <f>415.6+9.2</f>
        <v>424.8</v>
      </c>
      <c r="T17" s="38"/>
      <c r="U17" s="43"/>
    </row>
    <row r="18" spans="1:21" ht="15.75" thickBot="1">
      <c r="A18" s="2" t="s">
        <v>20</v>
      </c>
      <c r="B18" s="99">
        <v>229.33</v>
      </c>
      <c r="C18" s="86">
        <v>471</v>
      </c>
      <c r="D18" s="38">
        <v>0</v>
      </c>
      <c r="E18" s="41">
        <v>0</v>
      </c>
      <c r="F18" s="38">
        <v>1304.32</v>
      </c>
      <c r="G18" s="41">
        <v>430.1</v>
      </c>
      <c r="H18" s="116">
        <v>361.88</v>
      </c>
      <c r="I18" s="86">
        <v>348.3</v>
      </c>
      <c r="J18" s="116">
        <v>1189.71</v>
      </c>
      <c r="K18" s="86">
        <v>1237.62</v>
      </c>
      <c r="L18" s="38">
        <v>1037.25</v>
      </c>
      <c r="M18" s="43">
        <v>943.8</v>
      </c>
      <c r="N18" s="38">
        <f>388.4+366.09+323.4</f>
        <v>1077.8899999999999</v>
      </c>
      <c r="O18" s="43">
        <f>240.2+226.4+200</f>
        <v>666.6</v>
      </c>
      <c r="P18" s="38">
        <v>2348.43</v>
      </c>
      <c r="Q18" s="43">
        <v>1119.9</v>
      </c>
      <c r="R18" s="38">
        <f>580.07+552.02+615.25</f>
        <v>1747.3400000000001</v>
      </c>
      <c r="S18" s="43">
        <f>235.8+224.4+250.1</f>
        <v>710.3000000000001</v>
      </c>
      <c r="T18" s="38"/>
      <c r="U18" s="43"/>
    </row>
    <row r="19" spans="1:21" s="1" customFormat="1" ht="15.75" thickBot="1">
      <c r="A19" s="2" t="s">
        <v>21</v>
      </c>
      <c r="B19" s="37">
        <f>SUM(B7:B18)</f>
        <v>677.0500000000001</v>
      </c>
      <c r="C19" s="52">
        <f>SUM(C7:C17)</f>
        <v>862</v>
      </c>
      <c r="D19" s="93">
        <f aca="true" t="shared" si="0" ref="D19:I19">SUM(D7:D18)</f>
        <v>2177.74</v>
      </c>
      <c r="E19" s="94">
        <f t="shared" si="0"/>
        <v>3793.3900000000003</v>
      </c>
      <c r="F19" s="93">
        <f t="shared" si="0"/>
        <v>6229.169999999999</v>
      </c>
      <c r="G19" s="94">
        <f t="shared" si="0"/>
        <v>5035.900000000001</v>
      </c>
      <c r="H19" s="117">
        <f t="shared" si="0"/>
        <v>4199.26</v>
      </c>
      <c r="I19" s="52">
        <f t="shared" si="0"/>
        <v>4086</v>
      </c>
      <c r="J19" s="117">
        <f aca="true" t="shared" si="1" ref="J19:O19">SUM(J7:J18)</f>
        <v>5325.34</v>
      </c>
      <c r="K19" s="52">
        <f t="shared" si="1"/>
        <v>4937.62</v>
      </c>
      <c r="L19" s="133">
        <f t="shared" si="1"/>
        <v>5225.959999999999</v>
      </c>
      <c r="M19" s="89">
        <f t="shared" si="1"/>
        <v>5158.1</v>
      </c>
      <c r="N19" s="133">
        <f t="shared" si="1"/>
        <v>5909.68</v>
      </c>
      <c r="O19" s="89">
        <f t="shared" si="1"/>
        <v>4828.89</v>
      </c>
      <c r="P19" s="133">
        <f aca="true" t="shared" si="2" ref="P19:U19">SUM(P7:P18)</f>
        <v>8214.869999999999</v>
      </c>
      <c r="Q19" s="89">
        <f t="shared" si="2"/>
        <v>4577.799999999999</v>
      </c>
      <c r="R19" s="133">
        <f t="shared" si="2"/>
        <v>11106.92</v>
      </c>
      <c r="S19" s="89">
        <f t="shared" si="2"/>
        <v>4946.8</v>
      </c>
      <c r="T19" s="133">
        <f t="shared" si="2"/>
        <v>7315.039999999999</v>
      </c>
      <c r="U19" s="89">
        <f t="shared" si="2"/>
        <v>2973.6000000000004</v>
      </c>
    </row>
  </sheetData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workbookViewId="0" topLeftCell="A1">
      <selection activeCell="H10" sqref="H10"/>
    </sheetView>
  </sheetViews>
  <sheetFormatPr defaultColWidth="11.5546875" defaultRowHeight="15"/>
  <cols>
    <col min="1" max="1" width="14.3359375" style="136" bestFit="1" customWidth="1"/>
    <col min="2" max="2" width="9.6640625" style="136" customWidth="1"/>
    <col min="3" max="3" width="8.88671875" style="136" customWidth="1"/>
    <col min="4" max="4" width="9.88671875" style="136" customWidth="1"/>
    <col min="5" max="5" width="8.88671875" style="136" customWidth="1"/>
    <col min="6" max="6" width="9.6640625" style="136" bestFit="1" customWidth="1"/>
    <col min="7" max="9" width="8.88671875" style="136" customWidth="1"/>
    <col min="10" max="10" width="9.6640625" style="136" customWidth="1"/>
    <col min="11" max="16384" width="8.88671875" style="136" customWidth="1"/>
  </cols>
  <sheetData>
    <row r="1" spans="1:4" ht="15">
      <c r="A1" s="173" t="s">
        <v>32</v>
      </c>
      <c r="B1" s="135"/>
      <c r="D1" s="135"/>
    </row>
    <row r="2" spans="1:4" ht="15.75" thickBot="1">
      <c r="A2" s="134"/>
      <c r="B2" s="135"/>
      <c r="D2" s="135"/>
    </row>
    <row r="3" spans="1:7" ht="15">
      <c r="A3" s="172"/>
      <c r="B3" s="139">
        <v>2005</v>
      </c>
      <c r="C3" s="140"/>
      <c r="D3" s="139">
        <v>2006</v>
      </c>
      <c r="E3" s="140"/>
      <c r="F3" s="139">
        <v>2007</v>
      </c>
      <c r="G3" s="140"/>
    </row>
    <row r="4" spans="1:7" ht="15">
      <c r="A4" s="141"/>
      <c r="B4" s="143" t="s">
        <v>5</v>
      </c>
      <c r="C4" s="142"/>
      <c r="D4" s="143" t="s">
        <v>5</v>
      </c>
      <c r="E4" s="142"/>
      <c r="F4" s="143" t="s">
        <v>5</v>
      </c>
      <c r="G4" s="142"/>
    </row>
    <row r="5" spans="1:7" ht="15">
      <c r="A5" s="141" t="s">
        <v>22</v>
      </c>
      <c r="B5" s="143" t="s">
        <v>8</v>
      </c>
      <c r="C5" s="142" t="s">
        <v>7</v>
      </c>
      <c r="D5" s="143" t="s">
        <v>8</v>
      </c>
      <c r="E5" s="142" t="s">
        <v>7</v>
      </c>
      <c r="F5" s="143" t="s">
        <v>8</v>
      </c>
      <c r="G5" s="142" t="s">
        <v>7</v>
      </c>
    </row>
    <row r="6" spans="1:7" ht="15">
      <c r="A6" s="141"/>
      <c r="B6" s="143"/>
      <c r="C6" s="142"/>
      <c r="D6" s="143"/>
      <c r="E6" s="142"/>
      <c r="F6" s="143"/>
      <c r="G6" s="142"/>
    </row>
    <row r="7" spans="1:7" ht="15">
      <c r="A7" s="144" t="s">
        <v>9</v>
      </c>
      <c r="B7" s="146">
        <v>161.86</v>
      </c>
      <c r="C7" s="145">
        <v>100.1</v>
      </c>
      <c r="D7" s="146">
        <v>152.03</v>
      </c>
      <c r="E7" s="145">
        <v>72.5</v>
      </c>
      <c r="F7" s="146">
        <v>154.73</v>
      </c>
      <c r="G7" s="145">
        <v>62.9</v>
      </c>
    </row>
    <row r="8" spans="1:7" ht="15">
      <c r="A8" s="144" t="s">
        <v>10</v>
      </c>
      <c r="B8" s="146">
        <f>115.62+124.02</f>
        <v>239.64</v>
      </c>
      <c r="C8" s="145">
        <f>71.5+76.7</f>
        <v>148.2</v>
      </c>
      <c r="D8" s="146">
        <v>384.17</v>
      </c>
      <c r="E8" s="145">
        <v>183.2</v>
      </c>
      <c r="F8" s="146">
        <f>195.32+167.53</f>
        <v>362.85</v>
      </c>
      <c r="G8" s="145">
        <f>79.4+68.1</f>
        <v>147.5</v>
      </c>
    </row>
    <row r="9" spans="1:7" ht="15">
      <c r="A9" s="144" t="s">
        <v>11</v>
      </c>
      <c r="B9" s="146">
        <f>155.07+163.8</f>
        <v>318.87</v>
      </c>
      <c r="C9" s="145">
        <f>95.9+101.3</f>
        <v>197.2</v>
      </c>
      <c r="D9" s="146">
        <v>185.79</v>
      </c>
      <c r="E9" s="145">
        <v>88.6</v>
      </c>
      <c r="F9" s="146">
        <v>172.45</v>
      </c>
      <c r="G9" s="145">
        <v>70.1</v>
      </c>
    </row>
    <row r="10" spans="1:7" ht="15">
      <c r="A10" s="144" t="s">
        <v>23</v>
      </c>
      <c r="B10" s="146">
        <v>78.59</v>
      </c>
      <c r="C10" s="145">
        <v>48.6</v>
      </c>
      <c r="D10" s="146">
        <v>234.03</v>
      </c>
      <c r="E10" s="145">
        <v>111.6</v>
      </c>
      <c r="F10" s="146">
        <v>174.41</v>
      </c>
      <c r="G10" s="145">
        <v>70.9</v>
      </c>
    </row>
    <row r="11" spans="1:7" ht="15">
      <c r="A11" s="144" t="s">
        <v>13</v>
      </c>
      <c r="B11" s="146"/>
      <c r="C11" s="145"/>
      <c r="D11" s="146"/>
      <c r="E11" s="145"/>
      <c r="F11" s="146"/>
      <c r="G11" s="145"/>
    </row>
    <row r="12" spans="1:7" ht="15">
      <c r="A12" s="144" t="s">
        <v>14</v>
      </c>
      <c r="B12" s="146">
        <v>257.9</v>
      </c>
      <c r="C12" s="145">
        <v>159.5</v>
      </c>
      <c r="D12" s="146">
        <v>124.98</v>
      </c>
      <c r="E12" s="145">
        <v>59.6</v>
      </c>
      <c r="F12" s="146"/>
      <c r="G12" s="145"/>
    </row>
    <row r="13" spans="1:7" ht="15">
      <c r="A13" s="144" t="s">
        <v>15</v>
      </c>
      <c r="B13" s="146"/>
      <c r="C13" s="145"/>
      <c r="D13" s="146"/>
      <c r="E13" s="145"/>
      <c r="F13" s="146"/>
      <c r="G13" s="145"/>
    </row>
    <row r="14" spans="1:7" ht="15">
      <c r="A14" s="144" t="s">
        <v>16</v>
      </c>
      <c r="B14" s="146">
        <v>117.85</v>
      </c>
      <c r="C14" s="145">
        <v>56.2</v>
      </c>
      <c r="D14" s="146">
        <v>112.42</v>
      </c>
      <c r="E14" s="145">
        <v>45.7</v>
      </c>
      <c r="F14" s="146"/>
      <c r="G14" s="145"/>
    </row>
    <row r="15" spans="1:7" ht="15">
      <c r="A15" s="144" t="s">
        <v>17</v>
      </c>
      <c r="B15" s="146"/>
      <c r="C15" s="145"/>
      <c r="D15" s="146"/>
      <c r="E15" s="145"/>
      <c r="F15" s="146"/>
      <c r="G15" s="145"/>
    </row>
    <row r="16" spans="1:7" ht="15">
      <c r="A16" s="144" t="s">
        <v>18</v>
      </c>
      <c r="B16" s="146">
        <v>120.79</v>
      </c>
      <c r="C16" s="145">
        <v>57.6</v>
      </c>
      <c r="D16" s="146">
        <v>177.12</v>
      </c>
      <c r="E16" s="145">
        <v>72</v>
      </c>
      <c r="F16" s="146"/>
      <c r="G16" s="145"/>
    </row>
    <row r="17" spans="1:7" ht="15">
      <c r="A17" s="144" t="s">
        <v>19</v>
      </c>
      <c r="B17" s="146">
        <v>300.5</v>
      </c>
      <c r="C17" s="145">
        <v>143.3</v>
      </c>
      <c r="D17" s="146">
        <v>181.06</v>
      </c>
      <c r="E17" s="145">
        <v>73.6</v>
      </c>
      <c r="F17" s="146"/>
      <c r="G17" s="145"/>
    </row>
    <row r="18" spans="1:7" ht="15.75" thickBot="1">
      <c r="A18" s="144" t="s">
        <v>20</v>
      </c>
      <c r="B18" s="146">
        <v>337</v>
      </c>
      <c r="C18" s="145">
        <v>160.7</v>
      </c>
      <c r="D18" s="146">
        <f>125.71+139.48</f>
        <v>265.19</v>
      </c>
      <c r="E18" s="145">
        <f>56.7+51.1</f>
        <v>107.80000000000001</v>
      </c>
      <c r="F18" s="146"/>
      <c r="G18" s="145"/>
    </row>
    <row r="19" spans="1:7" ht="15.75" thickBot="1">
      <c r="A19" s="144" t="s">
        <v>21</v>
      </c>
      <c r="B19" s="149">
        <f aca="true" t="shared" si="0" ref="B19:G19">SUM(B7:B18)</f>
        <v>1933</v>
      </c>
      <c r="C19" s="150">
        <f t="shared" si="0"/>
        <v>1071.4</v>
      </c>
      <c r="D19" s="149">
        <f t="shared" si="0"/>
        <v>1816.79</v>
      </c>
      <c r="E19" s="150">
        <f t="shared" si="0"/>
        <v>814.6000000000001</v>
      </c>
      <c r="F19" s="149">
        <f t="shared" si="0"/>
        <v>864.4399999999999</v>
      </c>
      <c r="G19" s="150">
        <f t="shared" si="0"/>
        <v>351.4</v>
      </c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G11" sqref="G11"/>
    </sheetView>
  </sheetViews>
  <sheetFormatPr defaultColWidth="8.88671875" defaultRowHeight="15"/>
  <cols>
    <col min="1" max="16384" width="8.88671875" style="177" customWidth="1"/>
  </cols>
  <sheetData>
    <row r="1" spans="1:2" ht="12">
      <c r="A1" s="175" t="s">
        <v>28</v>
      </c>
      <c r="B1" s="176"/>
    </row>
    <row r="2" spans="1:2" ht="12.75" thickBot="1">
      <c r="A2" s="178"/>
      <c r="B2" s="176"/>
    </row>
    <row r="3" spans="1:7" ht="12">
      <c r="A3" s="179"/>
      <c r="B3" s="180">
        <v>2005</v>
      </c>
      <c r="C3" s="181"/>
      <c r="D3" s="180">
        <v>2006</v>
      </c>
      <c r="E3" s="181"/>
      <c r="F3" s="180">
        <v>2007</v>
      </c>
      <c r="G3" s="181"/>
    </row>
    <row r="4" spans="1:7" ht="12">
      <c r="A4" s="182"/>
      <c r="B4" s="183" t="s">
        <v>5</v>
      </c>
      <c r="C4" s="184"/>
      <c r="D4" s="183" t="s">
        <v>5</v>
      </c>
      <c r="E4" s="184"/>
      <c r="F4" s="183" t="s">
        <v>5</v>
      </c>
      <c r="G4" s="184"/>
    </row>
    <row r="5" spans="1:7" ht="12">
      <c r="A5" s="182" t="s">
        <v>22</v>
      </c>
      <c r="B5" s="183" t="s">
        <v>8</v>
      </c>
      <c r="C5" s="184" t="s">
        <v>7</v>
      </c>
      <c r="D5" s="183" t="s">
        <v>8</v>
      </c>
      <c r="E5" s="184" t="s">
        <v>7</v>
      </c>
      <c r="F5" s="183" t="s">
        <v>8</v>
      </c>
      <c r="G5" s="184" t="s">
        <v>7</v>
      </c>
    </row>
    <row r="6" spans="1:7" ht="12">
      <c r="A6" s="182"/>
      <c r="B6" s="186"/>
      <c r="C6" s="189"/>
      <c r="D6" s="194"/>
      <c r="E6" s="195"/>
      <c r="F6" s="194"/>
      <c r="G6" s="195"/>
    </row>
    <row r="7" spans="1:7" ht="12">
      <c r="A7" s="185" t="s">
        <v>9</v>
      </c>
      <c r="B7" s="187"/>
      <c r="C7" s="190"/>
      <c r="D7" s="186">
        <v>1347.53</v>
      </c>
      <c r="E7" s="197">
        <v>642.6</v>
      </c>
      <c r="F7" s="201">
        <f>528.16+881.42</f>
        <v>1409.58</v>
      </c>
      <c r="G7" s="202">
        <f>214.7+358.3</f>
        <v>573</v>
      </c>
    </row>
    <row r="8" spans="1:7" ht="12">
      <c r="A8" s="185" t="s">
        <v>10</v>
      </c>
      <c r="B8" s="187"/>
      <c r="C8" s="190"/>
      <c r="D8" s="187">
        <v>925.4</v>
      </c>
      <c r="E8" s="198">
        <v>441.3</v>
      </c>
      <c r="F8" s="187">
        <f>691.75+840.09</f>
        <v>1531.8400000000001</v>
      </c>
      <c r="G8" s="198">
        <f>281.2+341.5</f>
        <v>622.7</v>
      </c>
    </row>
    <row r="9" spans="1:7" ht="12">
      <c r="A9" s="185" t="s">
        <v>11</v>
      </c>
      <c r="B9" s="187"/>
      <c r="C9" s="190"/>
      <c r="D9" s="187">
        <v>957.49</v>
      </c>
      <c r="E9" s="198">
        <v>456.6</v>
      </c>
      <c r="F9" s="187">
        <f>283.15+703.07+745.63</f>
        <v>1731.85</v>
      </c>
      <c r="G9" s="198">
        <f>115.1+285.8+303.1</f>
        <v>704</v>
      </c>
    </row>
    <row r="10" spans="1:7" ht="12">
      <c r="A10" s="185" t="s">
        <v>23</v>
      </c>
      <c r="B10" s="187"/>
      <c r="C10" s="190"/>
      <c r="D10" s="187">
        <v>328.6</v>
      </c>
      <c r="E10" s="198">
        <v>156.7</v>
      </c>
      <c r="F10" s="187">
        <f>503.32+363.34</f>
        <v>866.66</v>
      </c>
      <c r="G10" s="198">
        <f>204.6+147.7</f>
        <v>352.29999999999995</v>
      </c>
    </row>
    <row r="11" spans="1:7" ht="12">
      <c r="A11" s="185" t="s">
        <v>13</v>
      </c>
      <c r="B11" s="187"/>
      <c r="C11" s="190"/>
      <c r="D11" s="187">
        <v>750.52</v>
      </c>
      <c r="E11" s="198">
        <v>357.9</v>
      </c>
      <c r="F11" s="187"/>
      <c r="G11" s="198"/>
    </row>
    <row r="12" spans="1:7" ht="12">
      <c r="A12" s="185" t="s">
        <v>14</v>
      </c>
      <c r="B12" s="187"/>
      <c r="C12" s="190"/>
      <c r="D12" s="187">
        <v>11.95</v>
      </c>
      <c r="E12" s="198">
        <v>5.7</v>
      </c>
      <c r="F12" s="187"/>
      <c r="G12" s="198"/>
    </row>
    <row r="13" spans="1:7" ht="12">
      <c r="A13" s="185" t="s">
        <v>15</v>
      </c>
      <c r="B13" s="187"/>
      <c r="C13" s="190"/>
      <c r="D13" s="187"/>
      <c r="E13" s="198"/>
      <c r="F13" s="187"/>
      <c r="G13" s="198"/>
    </row>
    <row r="14" spans="1:7" ht="12">
      <c r="A14" s="185" t="s">
        <v>16</v>
      </c>
      <c r="B14" s="187"/>
      <c r="C14" s="190"/>
      <c r="D14" s="187">
        <v>971.95</v>
      </c>
      <c r="E14" s="198">
        <v>395.1</v>
      </c>
      <c r="F14" s="187"/>
      <c r="G14" s="198"/>
    </row>
    <row r="15" spans="1:7" ht="12">
      <c r="A15" s="185" t="s">
        <v>17</v>
      </c>
      <c r="B15" s="187"/>
      <c r="C15" s="190"/>
      <c r="D15" s="187"/>
      <c r="E15" s="198"/>
      <c r="F15" s="187"/>
      <c r="G15" s="198"/>
    </row>
    <row r="16" spans="1:7" ht="12">
      <c r="A16" s="185" t="s">
        <v>18</v>
      </c>
      <c r="B16" s="187">
        <v>2044.58</v>
      </c>
      <c r="C16" s="190">
        <v>975</v>
      </c>
      <c r="D16" s="187">
        <v>1006.88</v>
      </c>
      <c r="E16" s="198">
        <v>409.3</v>
      </c>
      <c r="F16" s="187"/>
      <c r="G16" s="198"/>
    </row>
    <row r="17" spans="1:7" ht="12">
      <c r="A17" s="185" t="s">
        <v>19</v>
      </c>
      <c r="B17" s="187">
        <v>1203.9</v>
      </c>
      <c r="C17" s="190">
        <v>574.1</v>
      </c>
      <c r="D17" s="187">
        <v>781.79</v>
      </c>
      <c r="E17" s="198">
        <v>317.8</v>
      </c>
      <c r="F17" s="187"/>
      <c r="G17" s="198"/>
    </row>
    <row r="18" spans="1:7" ht="12.75" thickBot="1">
      <c r="A18" s="185" t="s">
        <v>20</v>
      </c>
      <c r="B18" s="187">
        <v>1489.5</v>
      </c>
      <c r="C18" s="190">
        <v>710.3</v>
      </c>
      <c r="D18" s="196">
        <f>464.69+548.58+664.94</f>
        <v>1678.21</v>
      </c>
      <c r="E18" s="199">
        <v>188.9</v>
      </c>
      <c r="F18" s="196"/>
      <c r="G18" s="199"/>
    </row>
    <row r="19" spans="1:7" ht="12.75" thickBot="1">
      <c r="A19" s="185" t="s">
        <v>21</v>
      </c>
      <c r="B19" s="188">
        <f aca="true" t="shared" si="0" ref="B19:G19">SUM(B7:B18)</f>
        <v>4737.98</v>
      </c>
      <c r="C19" s="191">
        <f t="shared" si="0"/>
        <v>2259.3999999999996</v>
      </c>
      <c r="D19" s="188">
        <f t="shared" si="0"/>
        <v>8760.32</v>
      </c>
      <c r="E19" s="200">
        <f t="shared" si="0"/>
        <v>3371.9</v>
      </c>
      <c r="F19" s="188">
        <f t="shared" si="0"/>
        <v>5539.93</v>
      </c>
      <c r="G19" s="200">
        <f t="shared" si="0"/>
        <v>2252</v>
      </c>
    </row>
  </sheetData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9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U11" sqref="U11"/>
    </sheetView>
  </sheetViews>
  <sheetFormatPr defaultColWidth="11.5546875" defaultRowHeight="15"/>
  <cols>
    <col min="1" max="1" width="13.6640625" style="3" bestFit="1" customWidth="1"/>
    <col min="2" max="2" width="8.6640625" style="8" bestFit="1" customWidth="1"/>
    <col min="3" max="3" width="9.6640625" style="0" bestFit="1" customWidth="1"/>
    <col min="4" max="4" width="9.6640625" style="8" bestFit="1" customWidth="1"/>
    <col min="5" max="7" width="9.6640625" style="0" bestFit="1" customWidth="1"/>
    <col min="8" max="8" width="10.3359375" style="111" bestFit="1" customWidth="1"/>
    <col min="9" max="9" width="9.6640625" style="0" bestFit="1" customWidth="1"/>
    <col min="10" max="10" width="10.3359375" style="0" bestFit="1" customWidth="1"/>
    <col min="11" max="18" width="9.6640625" style="0" bestFit="1" customWidth="1"/>
    <col min="19" max="19" width="8.6640625" style="0" customWidth="1"/>
    <col min="20" max="20" width="9.6640625" style="0" bestFit="1" customWidth="1"/>
    <col min="21" max="16384" width="8.6640625" style="0" customWidth="1"/>
  </cols>
  <sheetData>
    <row r="1" ht="15">
      <c r="A1" s="153" t="s">
        <v>30</v>
      </c>
    </row>
    <row r="2" ht="15.75" thickBot="1"/>
    <row r="3" spans="1:21" s="11" customFormat="1" ht="16.5">
      <c r="A3" s="156"/>
      <c r="B3" s="45">
        <v>1998</v>
      </c>
      <c r="C3" s="53"/>
      <c r="D3" s="26">
        <v>1999</v>
      </c>
      <c r="E3" s="28"/>
      <c r="F3" s="26">
        <v>2000</v>
      </c>
      <c r="G3" s="28"/>
      <c r="H3" s="118">
        <v>2001</v>
      </c>
      <c r="I3" s="53"/>
      <c r="J3" s="118" t="s">
        <v>33</v>
      </c>
      <c r="K3" s="53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5" customFormat="1" ht="15">
      <c r="A4" s="4"/>
      <c r="B4" s="32" t="s">
        <v>5</v>
      </c>
      <c r="C4" s="34"/>
      <c r="D4" s="29" t="s">
        <v>5</v>
      </c>
      <c r="E4" s="31"/>
      <c r="F4" s="29" t="s">
        <v>5</v>
      </c>
      <c r="G4" s="31"/>
      <c r="H4" s="112" t="s">
        <v>5</v>
      </c>
      <c r="I4" s="34"/>
      <c r="J4" s="112" t="s">
        <v>5</v>
      </c>
      <c r="K4" s="34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5" customFormat="1" ht="15">
      <c r="A5" s="4" t="s">
        <v>22</v>
      </c>
      <c r="B5" s="32" t="s">
        <v>8</v>
      </c>
      <c r="C5" s="34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112" t="s">
        <v>8</v>
      </c>
      <c r="I5" s="34" t="s">
        <v>7</v>
      </c>
      <c r="J5" s="112" t="s">
        <v>8</v>
      </c>
      <c r="K5" s="34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32"/>
      <c r="C6" s="34"/>
      <c r="D6" s="32"/>
      <c r="E6" s="34"/>
      <c r="F6" s="32"/>
      <c r="G6" s="34"/>
      <c r="H6" s="112"/>
      <c r="I6" s="34"/>
      <c r="J6" s="112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/>
      <c r="C7" s="43"/>
      <c r="D7" s="38">
        <v>727.09</v>
      </c>
      <c r="E7" s="41">
        <v>1396.4</v>
      </c>
      <c r="F7" s="38">
        <v>576.07</v>
      </c>
      <c r="G7" s="41">
        <v>659.8</v>
      </c>
      <c r="H7" s="113">
        <v>483.38</v>
      </c>
      <c r="I7" s="83">
        <v>486.3</v>
      </c>
      <c r="J7" s="113">
        <v>597.22</v>
      </c>
      <c r="K7" s="83">
        <v>574.8</v>
      </c>
      <c r="L7" s="38">
        <v>791.86</v>
      </c>
      <c r="M7" s="43">
        <v>843.3</v>
      </c>
      <c r="N7" s="38">
        <v>749.85</v>
      </c>
      <c r="O7" s="43">
        <v>682.3</v>
      </c>
      <c r="P7" s="38">
        <f>247.72+309.82+356.39</f>
        <v>913.93</v>
      </c>
      <c r="Q7" s="43">
        <f>153.2+191.6+220.4</f>
        <v>565.1999999999999</v>
      </c>
      <c r="R7" s="38">
        <v>1329.28</v>
      </c>
      <c r="S7" s="43">
        <v>633.9</v>
      </c>
      <c r="T7" s="38">
        <f>955.96+496.92+938.49</f>
        <v>2391.37</v>
      </c>
      <c r="U7" s="43">
        <f>388.6+202+381.5</f>
        <v>972.1</v>
      </c>
    </row>
    <row r="8" spans="1:21" ht="15">
      <c r="A8" s="2" t="s">
        <v>10</v>
      </c>
      <c r="B8" s="35"/>
      <c r="C8" s="43"/>
      <c r="D8" s="38">
        <v>323.86</v>
      </c>
      <c r="E8" s="41">
        <v>642.7</v>
      </c>
      <c r="F8" s="38">
        <v>1384.1</v>
      </c>
      <c r="G8" s="41">
        <v>948.1</v>
      </c>
      <c r="H8" s="113">
        <v>474.93</v>
      </c>
      <c r="I8" s="83">
        <v>477.8</v>
      </c>
      <c r="J8" s="113">
        <v>587.35</v>
      </c>
      <c r="K8" s="83">
        <v>565.3</v>
      </c>
      <c r="L8" s="38">
        <v>527.06</v>
      </c>
      <c r="M8" s="43">
        <v>561.3</v>
      </c>
      <c r="N8" s="38">
        <v>738.97</v>
      </c>
      <c r="O8" s="43">
        <v>672.4</v>
      </c>
      <c r="P8" s="38">
        <f>309.98+304.64</f>
        <v>614.62</v>
      </c>
      <c r="Q8" s="43">
        <f>191.7+188.4</f>
        <v>380.1</v>
      </c>
      <c r="R8" s="38">
        <v>699.35</v>
      </c>
      <c r="S8" s="43">
        <v>333.5</v>
      </c>
      <c r="T8" s="38">
        <f>700.36+796.06</f>
        <v>1496.42</v>
      </c>
      <c r="U8" s="43">
        <f>284.7+323.6</f>
        <v>608.3</v>
      </c>
    </row>
    <row r="9" spans="1:21" ht="15">
      <c r="A9" s="2" t="s">
        <v>11</v>
      </c>
      <c r="B9" s="35"/>
      <c r="C9" s="43"/>
      <c r="D9" s="38">
        <v>462.28</v>
      </c>
      <c r="E9" s="41">
        <v>901.3</v>
      </c>
      <c r="F9" s="38">
        <v>673.28</v>
      </c>
      <c r="G9" s="41">
        <v>671</v>
      </c>
      <c r="H9" s="114">
        <v>547.59</v>
      </c>
      <c r="I9" s="43">
        <v>550.9</v>
      </c>
      <c r="J9" s="114">
        <v>377.68</v>
      </c>
      <c r="K9" s="43">
        <v>363.5</v>
      </c>
      <c r="L9" s="38">
        <v>603.41</v>
      </c>
      <c r="M9" s="43">
        <v>642.6</v>
      </c>
      <c r="N9" s="38">
        <v>727.54</v>
      </c>
      <c r="O9" s="43">
        <v>662</v>
      </c>
      <c r="P9" s="38">
        <f>746.57+419.61+216.35</f>
        <v>1382.53</v>
      </c>
      <c r="Q9" s="43">
        <f>461.7+259.5+133.8</f>
        <v>855</v>
      </c>
      <c r="R9" s="38">
        <v>1383.81</v>
      </c>
      <c r="S9" s="43">
        <v>659.9</v>
      </c>
      <c r="T9" s="38">
        <f>495.44+529.15+586.96+302.83</f>
        <v>1914.3799999999999</v>
      </c>
      <c r="U9" s="43">
        <f>201.4+215.1+238.6+123.1</f>
        <v>778.2</v>
      </c>
    </row>
    <row r="10" spans="1:21" ht="15">
      <c r="A10" s="2" t="s">
        <v>23</v>
      </c>
      <c r="B10" s="35"/>
      <c r="C10" s="43"/>
      <c r="D10" s="38"/>
      <c r="E10" s="41"/>
      <c r="F10" s="38">
        <v>0</v>
      </c>
      <c r="G10" s="41">
        <v>0</v>
      </c>
      <c r="H10" s="114">
        <v>692.3</v>
      </c>
      <c r="I10" s="43">
        <v>577.4</v>
      </c>
      <c r="J10" s="114">
        <v>412.17</v>
      </c>
      <c r="K10" s="43">
        <v>396.7</v>
      </c>
      <c r="L10" s="38">
        <v>302.45</v>
      </c>
      <c r="M10" s="43">
        <v>322.1</v>
      </c>
      <c r="N10" s="38">
        <v>324.65</v>
      </c>
      <c r="O10" s="43">
        <v>295.4</v>
      </c>
      <c r="P10" s="38">
        <v>527.64</v>
      </c>
      <c r="Q10" s="43">
        <v>326.3</v>
      </c>
      <c r="R10" s="38">
        <v>795.39</v>
      </c>
      <c r="S10" s="43">
        <v>379.3</v>
      </c>
      <c r="T10" s="38">
        <v>532.34</v>
      </c>
      <c r="U10" s="43">
        <v>216.4</v>
      </c>
    </row>
    <row r="11" spans="1:21" ht="15">
      <c r="A11" s="2" t="s">
        <v>13</v>
      </c>
      <c r="B11" s="35"/>
      <c r="C11" s="43"/>
      <c r="D11" s="38">
        <v>703</v>
      </c>
      <c r="E11" s="41">
        <v>1175.2</v>
      </c>
      <c r="F11" s="38">
        <v>1194.38</v>
      </c>
      <c r="G11" s="41">
        <v>1264.7</v>
      </c>
      <c r="H11" s="114"/>
      <c r="I11" s="43"/>
      <c r="J11" s="114">
        <v>372.07</v>
      </c>
      <c r="K11" s="43">
        <v>358.1</v>
      </c>
      <c r="L11" s="38">
        <v>231.84</v>
      </c>
      <c r="M11" s="43">
        <v>246.9</v>
      </c>
      <c r="N11" s="38">
        <v>210.57</v>
      </c>
      <c r="O11" s="43">
        <v>191.6</v>
      </c>
      <c r="P11" s="38">
        <v>449.21</v>
      </c>
      <c r="Q11" s="43">
        <v>277.8</v>
      </c>
      <c r="R11" s="38">
        <v>457.36</v>
      </c>
      <c r="S11" s="43">
        <v>218.1</v>
      </c>
      <c r="T11" s="38"/>
      <c r="U11" s="43"/>
    </row>
    <row r="12" spans="1:21" ht="15">
      <c r="A12" s="2" t="s">
        <v>14</v>
      </c>
      <c r="B12" s="35"/>
      <c r="C12" s="43"/>
      <c r="D12" s="38">
        <v>49.95</v>
      </c>
      <c r="E12" s="41">
        <v>87.9</v>
      </c>
      <c r="F12" s="38">
        <v>272.07</v>
      </c>
      <c r="G12" s="41">
        <v>283.5</v>
      </c>
      <c r="H12" s="114">
        <v>563.14</v>
      </c>
      <c r="I12" s="43">
        <v>542</v>
      </c>
      <c r="J12" s="114">
        <v>256.82</v>
      </c>
      <c r="K12" s="43">
        <v>273.5</v>
      </c>
      <c r="L12" s="38">
        <v>73.63</v>
      </c>
      <c r="M12" s="43">
        <v>67</v>
      </c>
      <c r="N12" s="38"/>
      <c r="O12" s="43"/>
      <c r="P12" s="38">
        <v>144.24</v>
      </c>
      <c r="Q12" s="43">
        <v>89.2</v>
      </c>
      <c r="R12" s="38">
        <v>336.78</v>
      </c>
      <c r="S12" s="43">
        <v>160.6</v>
      </c>
      <c r="T12" s="38"/>
      <c r="U12" s="43"/>
    </row>
    <row r="13" spans="1:21" ht="15">
      <c r="A13" s="2" t="s">
        <v>15</v>
      </c>
      <c r="B13" s="35"/>
      <c r="C13" s="43"/>
      <c r="D13" s="38"/>
      <c r="E13" s="41"/>
      <c r="F13" s="38">
        <v>0</v>
      </c>
      <c r="G13" s="41">
        <v>0</v>
      </c>
      <c r="H13" s="114"/>
      <c r="I13" s="43"/>
      <c r="J13" s="114">
        <v>0</v>
      </c>
      <c r="K13" s="43">
        <v>0</v>
      </c>
      <c r="L13" s="38">
        <v>13.63</v>
      </c>
      <c r="M13" s="43">
        <v>12.4</v>
      </c>
      <c r="N13" s="38"/>
      <c r="O13" s="43"/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/>
      <c r="C14" s="43"/>
      <c r="D14" s="38">
        <v>14.53</v>
      </c>
      <c r="E14" s="41">
        <v>19.8</v>
      </c>
      <c r="F14" s="38">
        <v>17.3</v>
      </c>
      <c r="G14" s="41">
        <v>17.4</v>
      </c>
      <c r="H14" s="114">
        <v>101.41</v>
      </c>
      <c r="I14" s="43">
        <v>97.6</v>
      </c>
      <c r="J14" s="114">
        <v>56.72</v>
      </c>
      <c r="K14" s="43">
        <v>60.4</v>
      </c>
      <c r="L14" s="38"/>
      <c r="M14" s="43"/>
      <c r="N14" s="38">
        <v>168.04</v>
      </c>
      <c r="O14" s="43">
        <v>152.9</v>
      </c>
      <c r="P14" s="38"/>
      <c r="Q14" s="43"/>
      <c r="R14" s="38">
        <v>32.47</v>
      </c>
      <c r="S14" s="43">
        <v>13.2</v>
      </c>
      <c r="T14" s="38"/>
      <c r="U14" s="43"/>
    </row>
    <row r="15" spans="1:21" ht="15">
      <c r="A15" s="2" t="s">
        <v>17</v>
      </c>
      <c r="B15" s="35"/>
      <c r="C15" s="43"/>
      <c r="D15" s="38"/>
      <c r="E15" s="41"/>
      <c r="F15" s="38">
        <v>0</v>
      </c>
      <c r="G15" s="41">
        <v>0</v>
      </c>
      <c r="H15" s="114"/>
      <c r="I15" s="43"/>
      <c r="J15" s="114">
        <v>0</v>
      </c>
      <c r="K15" s="43">
        <v>0</v>
      </c>
      <c r="L15" s="38">
        <v>96.05</v>
      </c>
      <c r="M15" s="43">
        <v>87.4</v>
      </c>
      <c r="N15" s="38"/>
      <c r="O15" s="43"/>
      <c r="P15" s="38">
        <v>142.18</v>
      </c>
      <c r="Q15" s="43">
        <v>67.8</v>
      </c>
      <c r="R15" s="38"/>
      <c r="S15" s="43"/>
      <c r="T15" s="38"/>
      <c r="U15" s="43"/>
    </row>
    <row r="16" spans="1:21" ht="15">
      <c r="A16" s="2" t="s">
        <v>18</v>
      </c>
      <c r="B16" s="35"/>
      <c r="C16" s="43"/>
      <c r="D16" s="38">
        <v>305.44</v>
      </c>
      <c r="E16" s="41">
        <v>397.5</v>
      </c>
      <c r="F16" s="38">
        <v>433.36</v>
      </c>
      <c r="G16" s="41">
        <v>436.3</v>
      </c>
      <c r="H16" s="114">
        <v>285.21</v>
      </c>
      <c r="I16" s="43">
        <v>274.5</v>
      </c>
      <c r="J16" s="114">
        <v>211.65</v>
      </c>
      <c r="K16" s="43">
        <v>225.4</v>
      </c>
      <c r="L16" s="38"/>
      <c r="M16" s="43"/>
      <c r="N16" s="38">
        <f>350.7+266.95</f>
        <v>617.65</v>
      </c>
      <c r="O16" s="43">
        <f>210+157.4</f>
        <v>367.4</v>
      </c>
      <c r="P16" s="38">
        <v>754.71</v>
      </c>
      <c r="Q16" s="43">
        <v>359.9</v>
      </c>
      <c r="R16" s="38">
        <v>548.33</v>
      </c>
      <c r="S16" s="43">
        <v>222.9</v>
      </c>
      <c r="T16" s="38"/>
      <c r="U16" s="43"/>
    </row>
    <row r="17" spans="1:21" ht="15">
      <c r="A17" s="2" t="s">
        <v>19</v>
      </c>
      <c r="B17" s="35">
        <v>568.46</v>
      </c>
      <c r="C17" s="43">
        <v>1050.1</v>
      </c>
      <c r="D17" s="38">
        <v>287.18</v>
      </c>
      <c r="E17" s="41">
        <v>367.1</v>
      </c>
      <c r="F17" s="38">
        <v>0</v>
      </c>
      <c r="G17" s="41">
        <v>0</v>
      </c>
      <c r="H17" s="114">
        <v>471.5</v>
      </c>
      <c r="I17" s="43">
        <v>453.8</v>
      </c>
      <c r="J17" s="114">
        <v>525.84</v>
      </c>
      <c r="K17" s="43">
        <v>560</v>
      </c>
      <c r="L17" s="38">
        <v>747.65</v>
      </c>
      <c r="M17" s="43">
        <v>710.3</v>
      </c>
      <c r="N17" s="38">
        <f>533.61+179.49</f>
        <v>713.1</v>
      </c>
      <c r="O17" s="43">
        <f>330+111</f>
        <v>441</v>
      </c>
      <c r="P17" s="38">
        <v>422.34</v>
      </c>
      <c r="Q17" s="43">
        <v>201.4</v>
      </c>
      <c r="R17" s="38">
        <f>258.79+590.4</f>
        <v>849.19</v>
      </c>
      <c r="S17" s="43">
        <f>105.2+240</f>
        <v>345.2</v>
      </c>
      <c r="T17" s="38"/>
      <c r="U17" s="43"/>
    </row>
    <row r="18" spans="1:21" ht="15.75" thickBot="1">
      <c r="A18" s="2" t="s">
        <v>20</v>
      </c>
      <c r="B18" s="99">
        <v>245.25</v>
      </c>
      <c r="C18" s="86">
        <v>503.7</v>
      </c>
      <c r="D18" s="38">
        <v>1167.67</v>
      </c>
      <c r="E18" s="41">
        <v>1355.2</v>
      </c>
      <c r="F18" s="38">
        <v>1673.3</v>
      </c>
      <c r="G18" s="41">
        <v>1683.4</v>
      </c>
      <c r="H18" s="116">
        <v>275.96</v>
      </c>
      <c r="I18" s="86">
        <v>265.6</v>
      </c>
      <c r="J18" s="116">
        <v>564.15</v>
      </c>
      <c r="K18" s="86">
        <v>600.8</v>
      </c>
      <c r="L18" s="38">
        <v>757.88</v>
      </c>
      <c r="M18" s="43">
        <v>689.6</v>
      </c>
      <c r="N18" s="38">
        <f>328.25+401.66+294.13</f>
        <v>1024.04</v>
      </c>
      <c r="O18" s="43">
        <f>203+248.4+181.9</f>
        <v>633.3</v>
      </c>
      <c r="P18" s="38">
        <v>1915.61</v>
      </c>
      <c r="Q18" s="43">
        <v>913.5</v>
      </c>
      <c r="R18" s="38">
        <f>559.65+488.31+105.53</f>
        <v>1153.49</v>
      </c>
      <c r="S18" s="43">
        <f>227.5+198.5+42.9</f>
        <v>468.9</v>
      </c>
      <c r="T18" s="38"/>
      <c r="U18" s="43"/>
    </row>
    <row r="19" spans="1:21" s="1" customFormat="1" ht="15.75" thickBot="1">
      <c r="A19" s="2" t="s">
        <v>21</v>
      </c>
      <c r="B19" s="37">
        <f aca="true" t="shared" si="0" ref="B19:I19">SUM(B7:B18)</f>
        <v>813.71</v>
      </c>
      <c r="C19" s="52">
        <f t="shared" si="0"/>
        <v>1553.8</v>
      </c>
      <c r="D19" s="93">
        <f t="shared" si="0"/>
        <v>4041</v>
      </c>
      <c r="E19" s="94">
        <f t="shared" si="0"/>
        <v>6343.1</v>
      </c>
      <c r="F19" s="93">
        <f t="shared" si="0"/>
        <v>6223.86</v>
      </c>
      <c r="G19" s="94">
        <f t="shared" si="0"/>
        <v>5964.200000000001</v>
      </c>
      <c r="H19" s="117">
        <f t="shared" si="0"/>
        <v>3895.4199999999996</v>
      </c>
      <c r="I19" s="52">
        <f t="shared" si="0"/>
        <v>3725.9</v>
      </c>
      <c r="J19" s="117">
        <f aca="true" t="shared" si="1" ref="J19:O19">SUM(J7:J18)</f>
        <v>3961.6700000000005</v>
      </c>
      <c r="K19" s="52">
        <f t="shared" si="1"/>
        <v>3978.5</v>
      </c>
      <c r="L19" s="133">
        <f t="shared" si="1"/>
        <v>4145.46</v>
      </c>
      <c r="M19" s="89">
        <f t="shared" si="1"/>
        <v>4182.900000000001</v>
      </c>
      <c r="N19" s="133">
        <f t="shared" si="1"/>
        <v>5274.410000000001</v>
      </c>
      <c r="O19" s="89">
        <f t="shared" si="1"/>
        <v>4098.3</v>
      </c>
      <c r="P19" s="133">
        <f aca="true" t="shared" si="2" ref="P19:U19">SUM(P7:P18)</f>
        <v>7267.01</v>
      </c>
      <c r="Q19" s="89">
        <f t="shared" si="2"/>
        <v>4036.2000000000003</v>
      </c>
      <c r="R19" s="133">
        <f t="shared" si="2"/>
        <v>7585.449999999999</v>
      </c>
      <c r="S19" s="89">
        <f t="shared" si="2"/>
        <v>3435.4999999999995</v>
      </c>
      <c r="T19" s="133">
        <f t="shared" si="2"/>
        <v>6334.51</v>
      </c>
      <c r="U19" s="89">
        <f t="shared" si="2"/>
        <v>2575.0000000000005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9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V10" sqref="V10"/>
    </sheetView>
  </sheetViews>
  <sheetFormatPr defaultColWidth="11.5546875" defaultRowHeight="15"/>
  <cols>
    <col min="1" max="1" width="13.5546875" style="3" bestFit="1" customWidth="1"/>
    <col min="2" max="2" width="8.6640625" style="7" bestFit="1" customWidth="1"/>
    <col min="3" max="3" width="9.6640625" style="0" bestFit="1" customWidth="1"/>
    <col min="4" max="4" width="9.6640625" style="8" bestFit="1" customWidth="1"/>
    <col min="5" max="7" width="9.6640625" style="0" bestFit="1" customWidth="1"/>
    <col min="8" max="8" width="9.10546875" style="0" customWidth="1"/>
    <col min="9" max="9" width="9.6640625" style="0" bestFit="1" customWidth="1"/>
    <col min="10" max="10" width="9.10546875" style="0" customWidth="1"/>
    <col min="11" max="13" width="9.6640625" style="0" bestFit="1" customWidth="1"/>
    <col min="15" max="15" width="9.6640625" style="0" bestFit="1" customWidth="1"/>
    <col min="16" max="16" width="11.6640625" style="0" customWidth="1"/>
    <col min="17" max="17" width="8.6640625" style="0" customWidth="1"/>
    <col min="18" max="18" width="10.5546875" style="0" customWidth="1"/>
    <col min="19" max="19" width="8.6640625" style="0" customWidth="1"/>
    <col min="21" max="16384" width="8.6640625" style="0" customWidth="1"/>
  </cols>
  <sheetData>
    <row r="1" ht="15">
      <c r="A1" s="153" t="s">
        <v>31</v>
      </c>
    </row>
    <row r="2" ht="15.75" thickBot="1"/>
    <row r="3" spans="1:21" s="5" customFormat="1" ht="16.5">
      <c r="A3" s="155"/>
      <c r="B3" s="45">
        <v>1998</v>
      </c>
      <c r="C3" s="46"/>
      <c r="D3" s="26">
        <v>1999</v>
      </c>
      <c r="E3" s="28"/>
      <c r="F3" s="26">
        <v>2000</v>
      </c>
      <c r="G3" s="28"/>
      <c r="H3" s="88">
        <v>2001</v>
      </c>
      <c r="I3" s="46"/>
      <c r="J3" s="88">
        <v>2002</v>
      </c>
      <c r="K3" s="46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5" customFormat="1" ht="15">
      <c r="A4" s="4"/>
      <c r="B4" s="50" t="s">
        <v>5</v>
      </c>
      <c r="C4" s="34"/>
      <c r="D4" s="29" t="s">
        <v>5</v>
      </c>
      <c r="E4" s="31"/>
      <c r="F4" s="29" t="s">
        <v>5</v>
      </c>
      <c r="G4" s="31"/>
      <c r="H4" s="81" t="s">
        <v>5</v>
      </c>
      <c r="I4" s="34"/>
      <c r="J4" s="81" t="s">
        <v>5</v>
      </c>
      <c r="K4" s="34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5" customFormat="1" ht="15">
      <c r="A5" s="4" t="s">
        <v>22</v>
      </c>
      <c r="B5" s="51" t="s">
        <v>8</v>
      </c>
      <c r="C5" s="34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81" t="s">
        <v>8</v>
      </c>
      <c r="I5" s="34" t="s">
        <v>7</v>
      </c>
      <c r="J5" s="81" t="s">
        <v>8</v>
      </c>
      <c r="K5" s="34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51"/>
      <c r="C6" s="34"/>
      <c r="D6" s="32"/>
      <c r="E6" s="34"/>
      <c r="F6" s="32"/>
      <c r="G6" s="34"/>
      <c r="H6" s="81"/>
      <c r="I6" s="34"/>
      <c r="J6" s="81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/>
      <c r="C7" s="43">
        <v>0</v>
      </c>
      <c r="D7" s="38">
        <v>225.35</v>
      </c>
      <c r="E7" s="41">
        <v>446.5</v>
      </c>
      <c r="F7" s="38">
        <v>1712.13</v>
      </c>
      <c r="G7" s="41">
        <v>1901</v>
      </c>
      <c r="H7" s="97">
        <v>1455.72</v>
      </c>
      <c r="I7" s="43">
        <v>1464.5</v>
      </c>
      <c r="J7" s="97">
        <v>1982.83</v>
      </c>
      <c r="K7" s="43">
        <v>1908.4</v>
      </c>
      <c r="L7" s="38">
        <v>1699.22</v>
      </c>
      <c r="M7" s="43">
        <v>1809.6</v>
      </c>
      <c r="N7" s="38">
        <v>2004.79</v>
      </c>
      <c r="O7" s="43">
        <v>2024.2</v>
      </c>
      <c r="P7" s="38">
        <f>508.71+563.85+676.71</f>
        <v>1749.27</v>
      </c>
      <c r="Q7" s="43">
        <f>314.6+348.7+418.5</f>
        <v>1081.8</v>
      </c>
      <c r="R7" s="38">
        <v>2791.95</v>
      </c>
      <c r="S7" s="43">
        <v>1331.4</v>
      </c>
      <c r="T7" s="38">
        <f>960.88+757.43+1886.33</f>
        <v>3604.64</v>
      </c>
      <c r="U7" s="43">
        <f>390.6+307.9+766.8</f>
        <v>1465.3</v>
      </c>
    </row>
    <row r="8" spans="1:21" ht="15">
      <c r="A8" s="2" t="s">
        <v>10</v>
      </c>
      <c r="B8" s="35"/>
      <c r="C8" s="43"/>
      <c r="D8" s="38"/>
      <c r="E8" s="41"/>
      <c r="F8" s="38">
        <v>1777.88</v>
      </c>
      <c r="G8" s="41">
        <v>1393.5</v>
      </c>
      <c r="H8" s="90">
        <v>1264.47</v>
      </c>
      <c r="I8" s="43">
        <v>1272.1</v>
      </c>
      <c r="J8" s="90">
        <v>1259.9</v>
      </c>
      <c r="K8" s="43">
        <v>1212.6</v>
      </c>
      <c r="L8" s="38">
        <v>1478.83</v>
      </c>
      <c r="M8" s="43">
        <v>1574.9</v>
      </c>
      <c r="N8" s="38">
        <v>1518.48</v>
      </c>
      <c r="O8" s="43">
        <v>1381.7</v>
      </c>
      <c r="P8" s="38">
        <f>703.4+665.4</f>
        <v>1368.8</v>
      </c>
      <c r="Q8" s="43">
        <f>435+411.5</f>
        <v>846.5</v>
      </c>
      <c r="R8" s="38">
        <v>1884.78</v>
      </c>
      <c r="S8" s="43">
        <v>898.8</v>
      </c>
      <c r="T8" s="38">
        <f>1392.85+1773.17</f>
        <v>3166.02</v>
      </c>
      <c r="U8" s="43">
        <f>566.2+720.8</f>
        <v>1287</v>
      </c>
    </row>
    <row r="9" spans="1:21" ht="15">
      <c r="A9" s="2" t="s">
        <v>11</v>
      </c>
      <c r="B9" s="35"/>
      <c r="C9" s="43"/>
      <c r="D9" s="38">
        <v>204.75</v>
      </c>
      <c r="E9" s="41">
        <v>399.2</v>
      </c>
      <c r="F9" s="38">
        <v>546.35</v>
      </c>
      <c r="G9" s="41">
        <v>544.5</v>
      </c>
      <c r="H9" s="90">
        <v>668.27</v>
      </c>
      <c r="I9" s="43">
        <v>672.3</v>
      </c>
      <c r="J9" s="90">
        <v>704.65</v>
      </c>
      <c r="K9" s="43">
        <v>678.2</v>
      </c>
      <c r="L9" s="38">
        <v>1455.93</v>
      </c>
      <c r="M9" s="43">
        <v>1550.5</v>
      </c>
      <c r="N9" s="38">
        <v>1234.08</v>
      </c>
      <c r="O9" s="43">
        <v>1122.9</v>
      </c>
      <c r="P9" s="38">
        <v>2818.1</v>
      </c>
      <c r="Q9" s="43">
        <v>1742.8</v>
      </c>
      <c r="R9" s="38">
        <v>3057.42</v>
      </c>
      <c r="S9" s="43">
        <v>1458</v>
      </c>
      <c r="T9" s="38">
        <f>1034.18+1044.52+1341.44+576.13</f>
        <v>3996.27</v>
      </c>
      <c r="U9" s="43">
        <f>420.4+424.6+545.3+234.2</f>
        <v>1624.5</v>
      </c>
    </row>
    <row r="10" spans="1:21" ht="15">
      <c r="A10" s="2" t="s">
        <v>23</v>
      </c>
      <c r="B10" s="35"/>
      <c r="C10" s="43"/>
      <c r="D10" s="38"/>
      <c r="E10" s="41"/>
      <c r="F10" s="38">
        <v>1472.37</v>
      </c>
      <c r="G10" s="41">
        <v>1534.9</v>
      </c>
      <c r="H10" s="90">
        <v>1001.17</v>
      </c>
      <c r="I10" s="43">
        <v>835</v>
      </c>
      <c r="J10" s="90">
        <v>646.88</v>
      </c>
      <c r="K10" s="43">
        <v>622.6</v>
      </c>
      <c r="L10" s="38">
        <v>670.73</v>
      </c>
      <c r="M10" s="43">
        <v>714.3</v>
      </c>
      <c r="N10" s="38">
        <v>631.16</v>
      </c>
      <c r="O10" s="43">
        <v>574.3</v>
      </c>
      <c r="P10" s="38">
        <v>1254.64</v>
      </c>
      <c r="Q10" s="43">
        <v>775.9</v>
      </c>
      <c r="R10" s="38">
        <v>1644.26</v>
      </c>
      <c r="S10" s="43">
        <v>784.1</v>
      </c>
      <c r="T10" s="38">
        <v>995.81</v>
      </c>
      <c r="U10" s="43">
        <v>404.8</v>
      </c>
    </row>
    <row r="11" spans="1:21" ht="15">
      <c r="A11" s="2" t="s">
        <v>13</v>
      </c>
      <c r="B11" s="35"/>
      <c r="C11" s="43"/>
      <c r="D11" s="38"/>
      <c r="E11" s="41"/>
      <c r="F11" s="38">
        <v>261.02</v>
      </c>
      <c r="G11" s="41">
        <v>255.9</v>
      </c>
      <c r="H11" s="90">
        <v>729.47</v>
      </c>
      <c r="I11" s="43">
        <v>608.4</v>
      </c>
      <c r="J11" s="90">
        <v>694.78</v>
      </c>
      <c r="K11" s="43">
        <v>668.7</v>
      </c>
      <c r="L11" s="38">
        <v>624.06</v>
      </c>
      <c r="M11" s="43">
        <v>664.6</v>
      </c>
      <c r="N11" s="38">
        <v>646.87</v>
      </c>
      <c r="O11" s="43">
        <v>588.6</v>
      </c>
      <c r="P11" s="38">
        <v>749.32</v>
      </c>
      <c r="Q11" s="43">
        <v>463.4</v>
      </c>
      <c r="R11" s="38">
        <v>936.31</v>
      </c>
      <c r="S11" s="43">
        <v>446.5</v>
      </c>
      <c r="T11" s="38"/>
      <c r="U11" s="43"/>
    </row>
    <row r="12" spans="1:21" ht="15">
      <c r="A12" s="2" t="s">
        <v>14</v>
      </c>
      <c r="B12" s="35"/>
      <c r="C12" s="43"/>
      <c r="D12" s="38">
        <v>238.69</v>
      </c>
      <c r="E12" s="41">
        <v>420</v>
      </c>
      <c r="F12" s="38">
        <v>518.33</v>
      </c>
      <c r="G12" s="41">
        <v>540.1</v>
      </c>
      <c r="H12" s="90">
        <v>375.6</v>
      </c>
      <c r="I12" s="43">
        <v>361.5</v>
      </c>
      <c r="J12" s="90">
        <v>567.61</v>
      </c>
      <c r="K12" s="43">
        <v>546.3</v>
      </c>
      <c r="L12" s="38">
        <v>33.74</v>
      </c>
      <c r="M12" s="43">
        <v>30.7</v>
      </c>
      <c r="N12" s="38">
        <v>7.69</v>
      </c>
      <c r="O12" s="43">
        <v>7</v>
      </c>
      <c r="P12" s="38">
        <v>15.2</v>
      </c>
      <c r="Q12" s="43">
        <v>9.4</v>
      </c>
      <c r="R12" s="38">
        <v>850.96</v>
      </c>
      <c r="S12" s="43">
        <v>405.8</v>
      </c>
      <c r="T12" s="38"/>
      <c r="U12" s="43"/>
    </row>
    <row r="13" spans="1:21" ht="15">
      <c r="A13" s="2" t="s">
        <v>15</v>
      </c>
      <c r="B13" s="35"/>
      <c r="C13" s="43"/>
      <c r="D13" s="38"/>
      <c r="E13" s="41"/>
      <c r="F13" s="38">
        <v>0</v>
      </c>
      <c r="G13" s="41">
        <v>0</v>
      </c>
      <c r="H13" s="90"/>
      <c r="I13" s="43"/>
      <c r="J13" s="90">
        <v>0</v>
      </c>
      <c r="K13" s="43">
        <v>0</v>
      </c>
      <c r="L13" s="38">
        <v>5.28</v>
      </c>
      <c r="M13" s="43">
        <v>4.8</v>
      </c>
      <c r="N13" s="38">
        <v>3.76</v>
      </c>
      <c r="O13" s="43">
        <v>3.4</v>
      </c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/>
      <c r="C14" s="43"/>
      <c r="D14" s="38">
        <v>48.5</v>
      </c>
      <c r="E14" s="41">
        <v>66.1</v>
      </c>
      <c r="F14" s="38">
        <v>99.4</v>
      </c>
      <c r="G14" s="41">
        <v>100</v>
      </c>
      <c r="H14" s="90">
        <v>211.85</v>
      </c>
      <c r="I14" s="43">
        <v>203.9</v>
      </c>
      <c r="J14" s="90">
        <v>326.96</v>
      </c>
      <c r="K14" s="43">
        <v>348.2</v>
      </c>
      <c r="L14" s="38"/>
      <c r="M14" s="43"/>
      <c r="N14" s="38">
        <v>9.34</v>
      </c>
      <c r="O14" s="43">
        <v>8.5</v>
      </c>
      <c r="P14" s="38">
        <v>28.52</v>
      </c>
      <c r="Q14" s="43">
        <v>13.6</v>
      </c>
      <c r="R14" s="38">
        <v>448.21</v>
      </c>
      <c r="S14" s="43">
        <v>182.2</v>
      </c>
      <c r="T14" s="38"/>
      <c r="U14" s="43"/>
    </row>
    <row r="15" spans="1:21" ht="15">
      <c r="A15" s="2" t="s">
        <v>17</v>
      </c>
      <c r="B15" s="35"/>
      <c r="C15" s="43"/>
      <c r="D15" s="38"/>
      <c r="E15" s="41"/>
      <c r="F15" s="38">
        <v>0</v>
      </c>
      <c r="G15" s="41">
        <v>0</v>
      </c>
      <c r="H15" s="90"/>
      <c r="I15" s="43"/>
      <c r="J15" s="90">
        <v>0</v>
      </c>
      <c r="K15" s="43">
        <v>0</v>
      </c>
      <c r="L15" s="38">
        <v>255.96</v>
      </c>
      <c r="M15" s="43">
        <v>232.9</v>
      </c>
      <c r="N15" s="38"/>
      <c r="O15" s="43"/>
      <c r="P15" s="38"/>
      <c r="Q15" s="43"/>
      <c r="R15" s="38"/>
      <c r="S15" s="43"/>
      <c r="T15" s="38"/>
      <c r="U15" s="43"/>
    </row>
    <row r="16" spans="1:21" ht="15">
      <c r="A16" s="2" t="s">
        <v>18</v>
      </c>
      <c r="B16" s="35"/>
      <c r="C16" s="43"/>
      <c r="D16" s="38">
        <v>134.85</v>
      </c>
      <c r="E16" s="41">
        <v>175.5</v>
      </c>
      <c r="F16" s="38">
        <v>255.16</v>
      </c>
      <c r="G16" s="41">
        <v>256.7</v>
      </c>
      <c r="H16" s="90">
        <v>296.74</v>
      </c>
      <c r="I16" s="43">
        <v>285.6</v>
      </c>
      <c r="J16" s="90">
        <v>804.16</v>
      </c>
      <c r="K16" s="43">
        <v>856.4</v>
      </c>
      <c r="L16" s="38">
        <v>374.87</v>
      </c>
      <c r="M16" s="43">
        <v>341.1</v>
      </c>
      <c r="N16" s="38">
        <f>265.2+559</f>
        <v>824.2</v>
      </c>
      <c r="O16" s="43">
        <f>158.8+329.6</f>
        <v>488.40000000000003</v>
      </c>
      <c r="P16" s="38">
        <v>808.39</v>
      </c>
      <c r="Q16" s="43">
        <v>385.5</v>
      </c>
      <c r="R16" s="38">
        <v>1257.31</v>
      </c>
      <c r="S16" s="43">
        <v>511.1</v>
      </c>
      <c r="T16" s="38"/>
      <c r="U16" s="43"/>
    </row>
    <row r="17" spans="1:21" ht="15">
      <c r="A17" s="2" t="s">
        <v>19</v>
      </c>
      <c r="B17" s="35">
        <v>493.71</v>
      </c>
      <c r="C17" s="43">
        <v>899.7</v>
      </c>
      <c r="D17" s="38"/>
      <c r="E17" s="41"/>
      <c r="F17" s="38">
        <v>1248.86</v>
      </c>
      <c r="G17" s="41">
        <v>1256.4</v>
      </c>
      <c r="H17" s="90">
        <v>904.03</v>
      </c>
      <c r="I17" s="43">
        <v>870.1</v>
      </c>
      <c r="J17" s="90">
        <v>827.73</v>
      </c>
      <c r="K17" s="43">
        <v>881.5</v>
      </c>
      <c r="L17" s="38">
        <v>1236.82</v>
      </c>
      <c r="M17" s="43">
        <v>1125.4</v>
      </c>
      <c r="N17" s="38">
        <f>526.5+399.72+256.46</f>
        <v>1182.68</v>
      </c>
      <c r="O17" s="43">
        <f>325.6+247.2+158.6</f>
        <v>731.4</v>
      </c>
      <c r="P17" s="38">
        <v>818.25</v>
      </c>
      <c r="Q17" s="43">
        <v>390.2</v>
      </c>
      <c r="R17" s="38">
        <f>371.95+1180.8</f>
        <v>1552.75</v>
      </c>
      <c r="S17" s="43">
        <f>151.2+480</f>
        <v>631.2</v>
      </c>
      <c r="T17" s="38"/>
      <c r="U17" s="43"/>
    </row>
    <row r="18" spans="1:21" ht="15.75" thickBot="1">
      <c r="A18" s="2" t="s">
        <v>20</v>
      </c>
      <c r="B18" s="99">
        <v>82.09</v>
      </c>
      <c r="C18" s="86">
        <v>168.6</v>
      </c>
      <c r="D18" s="38">
        <v>459</v>
      </c>
      <c r="E18" s="41">
        <v>549.5</v>
      </c>
      <c r="F18" s="38">
        <v>1475.89</v>
      </c>
      <c r="G18" s="41">
        <v>1484.8</v>
      </c>
      <c r="H18" s="90">
        <v>702.26</v>
      </c>
      <c r="I18" s="43">
        <v>675.9</v>
      </c>
      <c r="J18" s="90">
        <v>1349.44</v>
      </c>
      <c r="K18" s="43">
        <v>1437.1</v>
      </c>
      <c r="L18" s="38">
        <v>1562.88</v>
      </c>
      <c r="M18" s="43">
        <v>1422.1</v>
      </c>
      <c r="N18" s="38">
        <f>619.63+688.03+743.01</f>
        <v>2050.67</v>
      </c>
      <c r="O18" s="43">
        <f>383.2+425.5+459.5</f>
        <v>1268.2</v>
      </c>
      <c r="P18" s="38">
        <v>2945.87</v>
      </c>
      <c r="Q18" s="43">
        <v>1404.8</v>
      </c>
      <c r="R18" s="38">
        <f>1033.2+979.33+1195.31</f>
        <v>3207.84</v>
      </c>
      <c r="S18" s="43">
        <f>420+398.1+485.9</f>
        <v>1304</v>
      </c>
      <c r="T18" s="38"/>
      <c r="U18" s="43"/>
    </row>
    <row r="19" spans="1:21" s="1" customFormat="1" ht="15.75" thickBot="1">
      <c r="A19" s="2" t="s">
        <v>21</v>
      </c>
      <c r="B19" s="37">
        <f aca="true" t="shared" si="0" ref="B19:I19">SUM(B7:B18)</f>
        <v>575.8</v>
      </c>
      <c r="C19" s="96">
        <f t="shared" si="0"/>
        <v>1068.3</v>
      </c>
      <c r="D19" s="93">
        <f t="shared" si="0"/>
        <v>1311.1399999999999</v>
      </c>
      <c r="E19" s="94">
        <f t="shared" si="0"/>
        <v>2056.8</v>
      </c>
      <c r="F19" s="93">
        <f t="shared" si="0"/>
        <v>9367.39</v>
      </c>
      <c r="G19" s="94">
        <f t="shared" si="0"/>
        <v>9267.8</v>
      </c>
      <c r="H19" s="98">
        <f t="shared" si="0"/>
        <v>7609.580000000001</v>
      </c>
      <c r="I19" s="52">
        <f t="shared" si="0"/>
        <v>7249.299999999999</v>
      </c>
      <c r="J19" s="98">
        <f aca="true" t="shared" si="1" ref="J19:O19">SUM(J7:J18)</f>
        <v>9164.94</v>
      </c>
      <c r="K19" s="52">
        <f t="shared" si="1"/>
        <v>9160</v>
      </c>
      <c r="L19" s="133">
        <f t="shared" si="1"/>
        <v>9398.32</v>
      </c>
      <c r="M19" s="89">
        <f t="shared" si="1"/>
        <v>9470.900000000001</v>
      </c>
      <c r="N19" s="133">
        <f t="shared" si="1"/>
        <v>10113.720000000001</v>
      </c>
      <c r="O19" s="89">
        <f t="shared" si="1"/>
        <v>8198.6</v>
      </c>
      <c r="P19" s="133">
        <f aca="true" t="shared" si="2" ref="P19:U19">SUM(P7:P18)</f>
        <v>12556.36</v>
      </c>
      <c r="Q19" s="89">
        <f t="shared" si="2"/>
        <v>7113.9</v>
      </c>
      <c r="R19" s="133">
        <f t="shared" si="2"/>
        <v>17631.79</v>
      </c>
      <c r="S19" s="89">
        <f t="shared" si="2"/>
        <v>7953.1</v>
      </c>
      <c r="T19" s="133">
        <f t="shared" si="2"/>
        <v>11762.74</v>
      </c>
      <c r="U19" s="89">
        <f t="shared" si="2"/>
        <v>4781.6</v>
      </c>
    </row>
  </sheetData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9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V10" sqref="V10"/>
    </sheetView>
  </sheetViews>
  <sheetFormatPr defaultColWidth="11.5546875" defaultRowHeight="15"/>
  <cols>
    <col min="1" max="1" width="13.6640625" style="3" bestFit="1" customWidth="1"/>
    <col min="2" max="2" width="8.6640625" style="8" bestFit="1" customWidth="1"/>
    <col min="3" max="3" width="9.6640625" style="0" bestFit="1" customWidth="1"/>
    <col min="4" max="4" width="9.6640625" style="8" bestFit="1" customWidth="1"/>
    <col min="5" max="7" width="9.6640625" style="0" bestFit="1" customWidth="1"/>
    <col min="8" max="8" width="10.3359375" style="111" bestFit="1" customWidth="1"/>
    <col min="9" max="9" width="9.6640625" style="0" bestFit="1" customWidth="1"/>
    <col min="10" max="10" width="10.3359375" style="0" bestFit="1" customWidth="1"/>
    <col min="11" max="14" width="9.6640625" style="0" bestFit="1" customWidth="1"/>
    <col min="15" max="15" width="8.6640625" style="0" customWidth="1"/>
    <col min="16" max="16" width="10.5546875" style="0" customWidth="1"/>
    <col min="17" max="17" width="8.6640625" style="0" customWidth="1"/>
    <col min="19" max="19" width="8.6640625" style="0" customWidth="1"/>
    <col min="20" max="20" width="11.88671875" style="0" customWidth="1"/>
    <col min="21" max="16384" width="8.6640625" style="0" customWidth="1"/>
  </cols>
  <sheetData>
    <row r="1" ht="15">
      <c r="A1" s="153" t="s">
        <v>30</v>
      </c>
    </row>
    <row r="2" ht="15.75" thickBot="1"/>
    <row r="3" spans="1:21" s="11" customFormat="1" ht="16.5">
      <c r="A3" s="156"/>
      <c r="B3" s="45">
        <v>1998</v>
      </c>
      <c r="C3" s="53"/>
      <c r="D3" s="26">
        <v>1999</v>
      </c>
      <c r="E3" s="28"/>
      <c r="F3" s="26">
        <v>2000</v>
      </c>
      <c r="G3" s="28"/>
      <c r="H3" s="118">
        <v>2001</v>
      </c>
      <c r="I3" s="53"/>
      <c r="J3" s="118" t="s">
        <v>33</v>
      </c>
      <c r="K3" s="53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5" customFormat="1" ht="15">
      <c r="A4" s="4"/>
      <c r="B4" s="32" t="s">
        <v>5</v>
      </c>
      <c r="C4" s="34"/>
      <c r="D4" s="29" t="s">
        <v>5</v>
      </c>
      <c r="E4" s="31"/>
      <c r="F4" s="29" t="s">
        <v>5</v>
      </c>
      <c r="G4" s="31"/>
      <c r="H4" s="112" t="s">
        <v>5</v>
      </c>
      <c r="I4" s="34"/>
      <c r="J4" s="112" t="s">
        <v>5</v>
      </c>
      <c r="K4" s="34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5" customFormat="1" ht="15">
      <c r="A5" s="4" t="s">
        <v>22</v>
      </c>
      <c r="B5" s="32" t="s">
        <v>8</v>
      </c>
      <c r="C5" s="34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112" t="s">
        <v>8</v>
      </c>
      <c r="I5" s="34" t="s">
        <v>7</v>
      </c>
      <c r="J5" s="112" t="s">
        <v>8</v>
      </c>
      <c r="K5" s="34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32"/>
      <c r="C6" s="34"/>
      <c r="D6" s="32"/>
      <c r="E6" s="34"/>
      <c r="F6" s="32"/>
      <c r="G6" s="34"/>
      <c r="H6" s="112"/>
      <c r="I6" s="34"/>
      <c r="J6" s="112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/>
      <c r="C7" s="43"/>
      <c r="D7" s="38">
        <v>495.51</v>
      </c>
      <c r="E7" s="41">
        <v>981.6</v>
      </c>
      <c r="F7" s="38">
        <v>452</v>
      </c>
      <c r="G7" s="41">
        <v>517.7</v>
      </c>
      <c r="H7" s="113">
        <v>560.72</v>
      </c>
      <c r="I7" s="83">
        <v>564.1</v>
      </c>
      <c r="J7" s="113">
        <v>728.44</v>
      </c>
      <c r="K7" s="83">
        <v>701.1</v>
      </c>
      <c r="L7" s="38">
        <v>1072.63</v>
      </c>
      <c r="M7" s="43">
        <v>1142.5</v>
      </c>
      <c r="N7" s="38">
        <v>2200.75</v>
      </c>
      <c r="O7" s="43">
        <v>2002.5</v>
      </c>
      <c r="P7" s="38">
        <f>432.06+539.59+604.27</f>
        <v>1575.92</v>
      </c>
      <c r="Q7" s="43">
        <f>267.2+333.7+373.7</f>
        <v>974.5999999999999</v>
      </c>
      <c r="R7" s="38">
        <v>2551.63</v>
      </c>
      <c r="S7" s="43">
        <v>1216.8</v>
      </c>
      <c r="T7" s="38">
        <f>729.64+692.24+1588.18</f>
        <v>3010.0600000000004</v>
      </c>
      <c r="U7" s="43">
        <f>296.6+281.4+645.6</f>
        <v>1223.6</v>
      </c>
    </row>
    <row r="8" spans="1:21" ht="15">
      <c r="A8" s="2" t="s">
        <v>10</v>
      </c>
      <c r="B8" s="35"/>
      <c r="C8" s="43"/>
      <c r="D8" s="38">
        <v>272.33</v>
      </c>
      <c r="E8" s="41">
        <v>573.8</v>
      </c>
      <c r="F8" s="38">
        <v>1244.27</v>
      </c>
      <c r="G8" s="41">
        <v>847.5</v>
      </c>
      <c r="H8" s="113">
        <v>535.77</v>
      </c>
      <c r="I8" s="83">
        <v>539</v>
      </c>
      <c r="J8" s="113">
        <v>725.54</v>
      </c>
      <c r="K8" s="83">
        <v>698.3</v>
      </c>
      <c r="L8" s="38">
        <v>678.99</v>
      </c>
      <c r="M8" s="43">
        <v>723.1</v>
      </c>
      <c r="N8" s="38">
        <v>1323.75</v>
      </c>
      <c r="O8" s="43">
        <v>1204.5</v>
      </c>
      <c r="P8" s="38">
        <f>494.64+502.4</f>
        <v>997.04</v>
      </c>
      <c r="Q8" s="43">
        <f>305.9+310.7</f>
        <v>616.5999999999999</v>
      </c>
      <c r="R8" s="38">
        <v>1894.85</v>
      </c>
      <c r="S8" s="43">
        <v>903.6</v>
      </c>
      <c r="T8" s="38">
        <f>1082.65+1337.99</f>
        <v>2420.6400000000003</v>
      </c>
      <c r="U8" s="43">
        <f>440.1+543.9</f>
        <v>984</v>
      </c>
    </row>
    <row r="9" spans="1:21" ht="15">
      <c r="A9" s="2" t="s">
        <v>11</v>
      </c>
      <c r="B9" s="35"/>
      <c r="C9" s="43"/>
      <c r="D9" s="38"/>
      <c r="E9" s="41"/>
      <c r="F9" s="38">
        <v>555.98</v>
      </c>
      <c r="G9" s="41">
        <v>554.1</v>
      </c>
      <c r="H9" s="114">
        <v>813.19</v>
      </c>
      <c r="I9" s="43">
        <v>818.1</v>
      </c>
      <c r="J9" s="114">
        <v>911.51</v>
      </c>
      <c r="K9" s="43">
        <v>877.3</v>
      </c>
      <c r="L9" s="38">
        <v>663.78</v>
      </c>
      <c r="M9" s="43">
        <v>706.9</v>
      </c>
      <c r="N9" s="38">
        <v>1045.37</v>
      </c>
      <c r="O9" s="43">
        <v>951.2</v>
      </c>
      <c r="P9" s="38">
        <v>1364.9</v>
      </c>
      <c r="Q9" s="43">
        <v>2207.04</v>
      </c>
      <c r="R9" s="38">
        <v>2335.85</v>
      </c>
      <c r="S9" s="43">
        <v>1113.9</v>
      </c>
      <c r="T9" s="38">
        <f>725.95+837.14+916.1+616.48</f>
        <v>3095.67</v>
      </c>
      <c r="U9" s="43">
        <f>295.1+340.3+372.4+250.6</f>
        <v>1258.4</v>
      </c>
    </row>
    <row r="10" spans="1:21" ht="15">
      <c r="A10" s="2" t="s">
        <v>23</v>
      </c>
      <c r="B10" s="35"/>
      <c r="C10" s="43"/>
      <c r="D10" s="38">
        <v>428.04</v>
      </c>
      <c r="E10" s="41">
        <v>723.4</v>
      </c>
      <c r="F10" s="38">
        <v>0</v>
      </c>
      <c r="G10" s="41">
        <v>0</v>
      </c>
      <c r="H10" s="114">
        <v>844.7</v>
      </c>
      <c r="I10" s="43">
        <v>704.5</v>
      </c>
      <c r="J10" s="114">
        <v>0</v>
      </c>
      <c r="K10" s="43">
        <v>0</v>
      </c>
      <c r="L10" s="38">
        <v>502.18</v>
      </c>
      <c r="M10" s="43">
        <v>534.8</v>
      </c>
      <c r="N10" s="38">
        <v>567.42</v>
      </c>
      <c r="O10" s="43">
        <v>516.3</v>
      </c>
      <c r="P10" s="38">
        <v>869.14</v>
      </c>
      <c r="Q10" s="43">
        <v>537.5</v>
      </c>
      <c r="R10" s="38">
        <v>1350.89</v>
      </c>
      <c r="S10" s="43">
        <v>643.9</v>
      </c>
      <c r="T10" s="38">
        <v>1235.17</v>
      </c>
      <c r="U10" s="43">
        <v>502.1</v>
      </c>
    </row>
    <row r="11" spans="1:21" ht="15">
      <c r="A11" s="2" t="s">
        <v>13</v>
      </c>
      <c r="B11" s="35"/>
      <c r="C11" s="43"/>
      <c r="D11" s="38"/>
      <c r="E11" s="41"/>
      <c r="F11" s="38">
        <v>0</v>
      </c>
      <c r="G11" s="41">
        <v>0</v>
      </c>
      <c r="H11" s="114"/>
      <c r="I11" s="43"/>
      <c r="J11" s="114">
        <v>817.38</v>
      </c>
      <c r="K11" s="43">
        <v>786.7</v>
      </c>
      <c r="L11" s="38">
        <v>205.07</v>
      </c>
      <c r="M11" s="43">
        <v>218.4</v>
      </c>
      <c r="N11" s="38">
        <v>467.62</v>
      </c>
      <c r="O11" s="43">
        <v>425.5</v>
      </c>
      <c r="P11" s="38">
        <v>866.71</v>
      </c>
      <c r="Q11" s="43">
        <v>536</v>
      </c>
      <c r="R11" s="38">
        <v>672.51</v>
      </c>
      <c r="S11" s="43">
        <v>320.7</v>
      </c>
      <c r="T11" s="38"/>
      <c r="U11" s="43"/>
    </row>
    <row r="12" spans="1:21" ht="15">
      <c r="A12" s="2" t="s">
        <v>14</v>
      </c>
      <c r="B12" s="35"/>
      <c r="C12" s="43"/>
      <c r="D12" s="38">
        <v>256.64</v>
      </c>
      <c r="E12" s="41">
        <v>451.6</v>
      </c>
      <c r="F12" s="38">
        <v>214.4</v>
      </c>
      <c r="G12" s="41">
        <v>223.4</v>
      </c>
      <c r="H12" s="114">
        <v>720.13</v>
      </c>
      <c r="I12" s="43">
        <v>693.1</v>
      </c>
      <c r="J12" s="114">
        <v>122.71</v>
      </c>
      <c r="K12" s="43">
        <v>118.1</v>
      </c>
      <c r="L12" s="38">
        <v>27.48</v>
      </c>
      <c r="M12" s="43">
        <v>25</v>
      </c>
      <c r="N12" s="38">
        <v>4.51</v>
      </c>
      <c r="O12" s="43">
        <v>4.1</v>
      </c>
      <c r="P12" s="38">
        <v>229.29</v>
      </c>
      <c r="Q12" s="43">
        <v>141.8</v>
      </c>
      <c r="R12" s="38">
        <v>469.73</v>
      </c>
      <c r="S12" s="43">
        <v>224</v>
      </c>
      <c r="T12" s="38"/>
      <c r="U12" s="43"/>
    </row>
    <row r="13" spans="1:21" ht="15">
      <c r="A13" s="2" t="s">
        <v>15</v>
      </c>
      <c r="B13" s="35"/>
      <c r="C13" s="43"/>
      <c r="D13" s="38"/>
      <c r="E13" s="41"/>
      <c r="F13" s="38">
        <v>0</v>
      </c>
      <c r="G13" s="41">
        <v>0</v>
      </c>
      <c r="H13" s="114"/>
      <c r="I13" s="43"/>
      <c r="J13" s="114">
        <v>0</v>
      </c>
      <c r="K13" s="43">
        <v>0</v>
      </c>
      <c r="L13" s="38">
        <v>1.32</v>
      </c>
      <c r="M13" s="43">
        <v>1.2</v>
      </c>
      <c r="N13" s="38">
        <v>5.19</v>
      </c>
      <c r="O13" s="43">
        <v>4.7</v>
      </c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/>
      <c r="C14" s="43"/>
      <c r="D14" s="38">
        <v>10.2</v>
      </c>
      <c r="E14" s="41">
        <v>13.9</v>
      </c>
      <c r="F14" s="38">
        <v>0</v>
      </c>
      <c r="G14" s="41">
        <v>0</v>
      </c>
      <c r="H14" s="114">
        <v>19.43</v>
      </c>
      <c r="I14" s="43">
        <v>18.7</v>
      </c>
      <c r="J14" s="114">
        <v>92.39</v>
      </c>
      <c r="K14" s="43">
        <v>31.3</v>
      </c>
      <c r="L14" s="38"/>
      <c r="M14" s="43"/>
      <c r="N14" s="38"/>
      <c r="O14" s="43"/>
      <c r="P14" s="38">
        <v>219.56</v>
      </c>
      <c r="Q14" s="43">
        <v>104.7</v>
      </c>
      <c r="R14" s="38">
        <v>106.52</v>
      </c>
      <c r="S14" s="43">
        <v>43.3</v>
      </c>
      <c r="T14" s="38"/>
      <c r="U14" s="43"/>
    </row>
    <row r="15" spans="1:21" ht="15">
      <c r="A15" s="2" t="s">
        <v>17</v>
      </c>
      <c r="B15" s="35"/>
      <c r="C15" s="43"/>
      <c r="D15" s="38"/>
      <c r="E15" s="41"/>
      <c r="F15" s="38">
        <v>792.91</v>
      </c>
      <c r="G15" s="41">
        <v>797.7</v>
      </c>
      <c r="H15" s="114"/>
      <c r="I15" s="43"/>
      <c r="J15" s="114">
        <v>0</v>
      </c>
      <c r="K15" s="43">
        <v>0</v>
      </c>
      <c r="L15" s="38">
        <v>2.09</v>
      </c>
      <c r="M15" s="43">
        <v>1.9</v>
      </c>
      <c r="N15" s="38"/>
      <c r="O15" s="43"/>
      <c r="P15" s="38"/>
      <c r="Q15" s="43"/>
      <c r="R15" s="38"/>
      <c r="S15" s="43"/>
      <c r="T15" s="38"/>
      <c r="U15" s="43"/>
    </row>
    <row r="16" spans="1:21" ht="15">
      <c r="A16" s="2" t="s">
        <v>18</v>
      </c>
      <c r="B16" s="35"/>
      <c r="C16" s="43"/>
      <c r="D16" s="38">
        <v>108.73</v>
      </c>
      <c r="E16" s="41">
        <v>141.5</v>
      </c>
      <c r="F16" s="38">
        <v>416.68</v>
      </c>
      <c r="G16" s="41">
        <v>419.2</v>
      </c>
      <c r="H16" s="114">
        <v>508.49</v>
      </c>
      <c r="I16" s="43">
        <v>489.4</v>
      </c>
      <c r="J16" s="114">
        <v>306.58</v>
      </c>
      <c r="K16" s="43">
        <v>326.5</v>
      </c>
      <c r="L16" s="38"/>
      <c r="M16" s="43"/>
      <c r="N16" s="38">
        <f>249+549</f>
        <v>798</v>
      </c>
      <c r="O16" s="43">
        <f>149.1+323.7</f>
        <v>472.79999999999995</v>
      </c>
      <c r="P16" s="38">
        <v>1427.01</v>
      </c>
      <c r="Q16" s="43">
        <v>680.5</v>
      </c>
      <c r="R16" s="38">
        <v>994.33</v>
      </c>
      <c r="S16" s="43">
        <v>404.2</v>
      </c>
      <c r="T16" s="38"/>
      <c r="U16" s="43"/>
    </row>
    <row r="17" spans="1:21" ht="15">
      <c r="A17" s="2" t="s">
        <v>19</v>
      </c>
      <c r="B17" s="35">
        <v>358.34</v>
      </c>
      <c r="C17" s="43">
        <v>662.8</v>
      </c>
      <c r="D17" s="38">
        <v>456.35</v>
      </c>
      <c r="E17" s="41">
        <v>529.1</v>
      </c>
      <c r="F17" s="38">
        <v>641.13</v>
      </c>
      <c r="G17" s="41">
        <v>645</v>
      </c>
      <c r="H17" s="114">
        <v>372.17</v>
      </c>
      <c r="I17" s="43">
        <v>599.9</v>
      </c>
      <c r="J17" s="114">
        <v>657.39</v>
      </c>
      <c r="K17" s="43">
        <v>700.1</v>
      </c>
      <c r="L17" s="38">
        <v>1037.57</v>
      </c>
      <c r="M17" s="43">
        <v>994.1</v>
      </c>
      <c r="N17" s="38">
        <f>754.98+483.16+272.3</f>
        <v>1510.44</v>
      </c>
      <c r="O17" s="43">
        <f>466.9+298.8+168.4</f>
        <v>934.1</v>
      </c>
      <c r="P17" s="38">
        <v>926.04</v>
      </c>
      <c r="Q17" s="43">
        <v>441.6</v>
      </c>
      <c r="R17" s="38">
        <f>370.97+870.84</f>
        <v>1241.81</v>
      </c>
      <c r="S17" s="43">
        <f>150.8+354</f>
        <v>504.8</v>
      </c>
      <c r="T17" s="38"/>
      <c r="U17" s="43"/>
    </row>
    <row r="18" spans="1:21" ht="15.75" thickBot="1">
      <c r="A18" s="2" t="s">
        <v>20</v>
      </c>
      <c r="B18" s="99">
        <v>152.16</v>
      </c>
      <c r="C18" s="86">
        <v>312.5</v>
      </c>
      <c r="D18" s="38">
        <v>684.7</v>
      </c>
      <c r="E18" s="41">
        <v>787.1</v>
      </c>
      <c r="F18" s="38">
        <v>826.31</v>
      </c>
      <c r="G18" s="41">
        <v>831.3</v>
      </c>
      <c r="H18" s="114">
        <v>395.44</v>
      </c>
      <c r="I18" s="43">
        <v>380.6</v>
      </c>
      <c r="J18" s="114">
        <v>684.16</v>
      </c>
      <c r="K18" s="43">
        <v>728.6</v>
      </c>
      <c r="L18" s="38">
        <v>1482.99</v>
      </c>
      <c r="M18" s="43">
        <v>1349.4</v>
      </c>
      <c r="N18" s="38">
        <f>587.13+670.08+506.44</f>
        <v>1763.65</v>
      </c>
      <c r="O18" s="43">
        <f>363.1+414.4+313.2</f>
        <v>1090.7</v>
      </c>
      <c r="P18" s="38">
        <v>3077.37</v>
      </c>
      <c r="Q18" s="43">
        <v>1467.5</v>
      </c>
      <c r="R18" s="38">
        <f>743.41+696.43+784.99</f>
        <v>2224.83</v>
      </c>
      <c r="S18" s="43">
        <f>302.2+283.1+319.1</f>
        <v>904.4</v>
      </c>
      <c r="T18" s="38"/>
      <c r="U18" s="43"/>
    </row>
    <row r="19" spans="1:21" s="1" customFormat="1" ht="15.75" thickBot="1">
      <c r="A19" s="2" t="s">
        <v>21</v>
      </c>
      <c r="B19" s="67">
        <f>SUM(B7:B18)</f>
        <v>510.5</v>
      </c>
      <c r="C19" s="96">
        <f>SUM(C17:C18)</f>
        <v>975.3</v>
      </c>
      <c r="D19" s="93">
        <f aca="true" t="shared" si="0" ref="D19:I19">SUM(D7:D18)</f>
        <v>2712.5</v>
      </c>
      <c r="E19" s="94">
        <f t="shared" si="0"/>
        <v>4202</v>
      </c>
      <c r="F19" s="93">
        <f t="shared" si="0"/>
        <v>5143.68</v>
      </c>
      <c r="G19" s="94">
        <f t="shared" si="0"/>
        <v>4835.900000000001</v>
      </c>
      <c r="H19" s="115">
        <f t="shared" si="0"/>
        <v>4770.04</v>
      </c>
      <c r="I19" s="52">
        <f t="shared" si="0"/>
        <v>4807.4</v>
      </c>
      <c r="J19" s="115">
        <f aca="true" t="shared" si="1" ref="J19:O19">SUM(J7:J18)</f>
        <v>5046.099999999999</v>
      </c>
      <c r="K19" s="52">
        <f t="shared" si="1"/>
        <v>4968</v>
      </c>
      <c r="L19" s="133">
        <f t="shared" si="1"/>
        <v>5674.1</v>
      </c>
      <c r="M19" s="89">
        <f t="shared" si="1"/>
        <v>5697.300000000001</v>
      </c>
      <c r="N19" s="133">
        <f t="shared" si="1"/>
        <v>9686.699999999999</v>
      </c>
      <c r="O19" s="89">
        <f t="shared" si="1"/>
        <v>7606.400000000001</v>
      </c>
      <c r="P19" s="133">
        <f aca="true" t="shared" si="2" ref="P19:U19">SUM(P7:P18)</f>
        <v>11552.98</v>
      </c>
      <c r="Q19" s="89">
        <f t="shared" si="2"/>
        <v>7707.84</v>
      </c>
      <c r="R19" s="133">
        <f t="shared" si="2"/>
        <v>13842.949999999999</v>
      </c>
      <c r="S19" s="89">
        <f t="shared" si="2"/>
        <v>6279.6</v>
      </c>
      <c r="T19" s="133">
        <f t="shared" si="2"/>
        <v>9761.54</v>
      </c>
      <c r="U19" s="89">
        <f t="shared" si="2"/>
        <v>3968.1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U19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V10" sqref="V10"/>
    </sheetView>
  </sheetViews>
  <sheetFormatPr defaultColWidth="11.5546875" defaultRowHeight="15"/>
  <cols>
    <col min="1" max="1" width="16.10546875" style="3" customWidth="1"/>
    <col min="2" max="2" width="8.6640625" style="8" bestFit="1" customWidth="1"/>
    <col min="3" max="3" width="9.6640625" style="0" bestFit="1" customWidth="1"/>
    <col min="4" max="4" width="9.6640625" style="8" bestFit="1" customWidth="1"/>
    <col min="5" max="7" width="9.6640625" style="0" bestFit="1" customWidth="1"/>
    <col min="8" max="8" width="10.3359375" style="111" bestFit="1" customWidth="1"/>
    <col min="9" max="9" width="9.6640625" style="0" bestFit="1" customWidth="1"/>
    <col min="10" max="10" width="10.3359375" style="0" bestFit="1" customWidth="1"/>
    <col min="11" max="11" width="9.6640625" style="0" bestFit="1" customWidth="1"/>
    <col min="12" max="12" width="9.6640625" style="0" customWidth="1"/>
    <col min="13" max="16" width="9.6640625" style="0" bestFit="1" customWidth="1"/>
    <col min="17" max="17" width="8.6640625" style="0" customWidth="1"/>
    <col min="18" max="18" width="9.6640625" style="0" bestFit="1" customWidth="1"/>
    <col min="19" max="19" width="8.6640625" style="0" customWidth="1"/>
    <col min="20" max="20" width="12.3359375" style="0" customWidth="1"/>
    <col min="21" max="16384" width="8.6640625" style="0" customWidth="1"/>
  </cols>
  <sheetData>
    <row r="2" ht="15.75" thickBot="1"/>
    <row r="3" spans="1:21" s="23" customFormat="1" ht="16.5">
      <c r="A3" s="58" t="s">
        <v>28</v>
      </c>
      <c r="B3" s="26">
        <v>1998</v>
      </c>
      <c r="C3" s="27"/>
      <c r="D3" s="26">
        <v>1999</v>
      </c>
      <c r="E3" s="28"/>
      <c r="F3" s="26">
        <v>2000</v>
      </c>
      <c r="G3" s="28"/>
      <c r="H3" s="122">
        <v>2001</v>
      </c>
      <c r="I3" s="28"/>
      <c r="J3" s="122" t="s">
        <v>33</v>
      </c>
      <c r="K3" s="28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25" customFormat="1" ht="15">
      <c r="A4" s="24"/>
      <c r="B4" s="29" t="s">
        <v>5</v>
      </c>
      <c r="C4" s="30"/>
      <c r="D4" s="29" t="s">
        <v>5</v>
      </c>
      <c r="E4" s="31"/>
      <c r="F4" s="29" t="s">
        <v>5</v>
      </c>
      <c r="G4" s="31"/>
      <c r="H4" s="121" t="s">
        <v>5</v>
      </c>
      <c r="I4" s="31"/>
      <c r="J4" s="121" t="s">
        <v>5</v>
      </c>
      <c r="K4" s="31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25" customFormat="1" ht="15">
      <c r="A5" s="24" t="s">
        <v>22</v>
      </c>
      <c r="B5" s="29" t="s">
        <v>8</v>
      </c>
      <c r="C5" s="30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121" t="s">
        <v>8</v>
      </c>
      <c r="I5" s="31" t="s">
        <v>7</v>
      </c>
      <c r="J5" s="121" t="s">
        <v>8</v>
      </c>
      <c r="K5" s="31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32"/>
      <c r="C6" s="33"/>
      <c r="D6" s="32"/>
      <c r="E6" s="34"/>
      <c r="F6" s="32"/>
      <c r="G6" s="34"/>
      <c r="H6" s="112"/>
      <c r="I6" s="34"/>
      <c r="J6" s="112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/>
      <c r="C7" s="36"/>
      <c r="D7" s="38">
        <v>519.67</v>
      </c>
      <c r="E7" s="41">
        <v>814.9</v>
      </c>
      <c r="F7" s="38">
        <v>422.32</v>
      </c>
      <c r="G7" s="41">
        <v>483.7</v>
      </c>
      <c r="H7" s="114"/>
      <c r="I7" s="43"/>
      <c r="J7" s="114">
        <v>480.12</v>
      </c>
      <c r="K7" s="43">
        <v>462.1</v>
      </c>
      <c r="L7" s="38">
        <v>795.89</v>
      </c>
      <c r="M7" s="43">
        <v>847.6</v>
      </c>
      <c r="N7" s="38">
        <v>662.81</v>
      </c>
      <c r="O7" s="43">
        <v>603.1</v>
      </c>
      <c r="P7" s="38">
        <f>377.25+309.82</f>
        <v>687.0699999999999</v>
      </c>
      <c r="Q7" s="43">
        <f>233.3+191.6</f>
        <v>424.9</v>
      </c>
      <c r="R7" s="38">
        <v>1397.02</v>
      </c>
      <c r="S7" s="43">
        <v>666.2</v>
      </c>
      <c r="T7" s="38">
        <f>407.38+421.15+851.16</f>
        <v>1679.69</v>
      </c>
      <c r="U7" s="43">
        <f>165.6+171.2+346</f>
        <v>682.8</v>
      </c>
    </row>
    <row r="8" spans="1:21" ht="15">
      <c r="A8" s="2" t="s">
        <v>10</v>
      </c>
      <c r="B8" s="35"/>
      <c r="C8" s="36"/>
      <c r="D8" s="38">
        <v>296.25</v>
      </c>
      <c r="E8" s="41">
        <v>624.2</v>
      </c>
      <c r="F8" s="38">
        <v>761.42</v>
      </c>
      <c r="G8" s="41">
        <v>550.2</v>
      </c>
      <c r="H8" s="114"/>
      <c r="I8" s="43"/>
      <c r="J8" s="114">
        <v>414.56</v>
      </c>
      <c r="K8" s="43">
        <v>399</v>
      </c>
      <c r="L8" s="38">
        <v>514.38</v>
      </c>
      <c r="M8" s="43">
        <v>547.8</v>
      </c>
      <c r="N8" s="38">
        <v>701.16</v>
      </c>
      <c r="O8" s="43">
        <v>638</v>
      </c>
      <c r="P8" s="38">
        <f>293.65+362.21</f>
        <v>655.8599999999999</v>
      </c>
      <c r="Q8" s="43">
        <f>181.6+224</f>
        <v>405.6</v>
      </c>
      <c r="R8" s="38">
        <v>1027.95</v>
      </c>
      <c r="S8" s="43">
        <v>490.2</v>
      </c>
      <c r="T8" s="38">
        <f>678.96+766.54</f>
        <v>1445.5</v>
      </c>
      <c r="U8" s="43">
        <f>276+311.6</f>
        <v>587.6</v>
      </c>
    </row>
    <row r="9" spans="1:21" ht="15">
      <c r="A9" s="2" t="s">
        <v>11</v>
      </c>
      <c r="B9" s="35"/>
      <c r="C9" s="36"/>
      <c r="D9" s="38"/>
      <c r="E9" s="41"/>
      <c r="F9" s="38">
        <v>0</v>
      </c>
      <c r="G9" s="41">
        <v>0</v>
      </c>
      <c r="H9" s="114"/>
      <c r="I9" s="43"/>
      <c r="J9" s="114">
        <v>487.5</v>
      </c>
      <c r="K9" s="43">
        <v>469.2</v>
      </c>
      <c r="L9" s="38">
        <v>554.57</v>
      </c>
      <c r="M9" s="43">
        <v>590.6</v>
      </c>
      <c r="N9" s="38">
        <v>806.01</v>
      </c>
      <c r="O9" s="43">
        <v>733.4</v>
      </c>
      <c r="P9" s="38">
        <v>1256.57</v>
      </c>
      <c r="Q9" s="43">
        <v>777.1</v>
      </c>
      <c r="R9" s="38">
        <v>1486.78</v>
      </c>
      <c r="S9" s="43">
        <v>709</v>
      </c>
      <c r="T9" s="38">
        <f>477.24+499.87+519.31+316.6</f>
        <v>1813.02</v>
      </c>
      <c r="U9" s="43">
        <f>194+203.2+211.1+128.7</f>
        <v>737</v>
      </c>
    </row>
    <row r="10" spans="1:21" ht="15">
      <c r="A10" s="2" t="s">
        <v>23</v>
      </c>
      <c r="B10" s="35"/>
      <c r="C10" s="36"/>
      <c r="D10" s="38">
        <v>392.93</v>
      </c>
      <c r="E10" s="41">
        <v>630.3</v>
      </c>
      <c r="F10" s="38">
        <v>686.41</v>
      </c>
      <c r="G10" s="41">
        <v>747.8</v>
      </c>
      <c r="H10" s="114"/>
      <c r="I10" s="43"/>
      <c r="J10" s="114">
        <v>411.03</v>
      </c>
      <c r="K10" s="43">
        <v>395.6</v>
      </c>
      <c r="L10" s="38">
        <v>431.94</v>
      </c>
      <c r="M10" s="43">
        <v>460</v>
      </c>
      <c r="N10" s="38">
        <v>397.07</v>
      </c>
      <c r="O10" s="43">
        <v>361.3</v>
      </c>
      <c r="P10" s="38">
        <v>684.32</v>
      </c>
      <c r="Q10" s="43">
        <v>423.2</v>
      </c>
      <c r="R10" s="38">
        <v>922.89</v>
      </c>
      <c r="S10" s="43">
        <v>440.1</v>
      </c>
      <c r="T10" s="38">
        <v>543.66</v>
      </c>
      <c r="U10" s="43">
        <v>221</v>
      </c>
    </row>
    <row r="11" spans="1:21" ht="15">
      <c r="A11" s="2" t="s">
        <v>13</v>
      </c>
      <c r="B11" s="35"/>
      <c r="C11" s="36"/>
      <c r="D11" s="38"/>
      <c r="E11" s="41"/>
      <c r="F11" s="38">
        <v>0</v>
      </c>
      <c r="G11" s="41">
        <v>0</v>
      </c>
      <c r="H11" s="114"/>
      <c r="I11" s="43"/>
      <c r="J11" s="114">
        <v>317.31</v>
      </c>
      <c r="K11" s="43">
        <v>305.4</v>
      </c>
      <c r="L11" s="38">
        <v>327.71</v>
      </c>
      <c r="M11" s="43">
        <v>349</v>
      </c>
      <c r="N11" s="38">
        <v>258.93</v>
      </c>
      <c r="O11" s="43">
        <v>235.6</v>
      </c>
      <c r="P11" s="38">
        <v>323.4</v>
      </c>
      <c r="Q11" s="43">
        <v>168.7</v>
      </c>
      <c r="R11" s="38">
        <v>373.69</v>
      </c>
      <c r="S11" s="43">
        <v>178.2</v>
      </c>
      <c r="T11" s="38"/>
      <c r="U11" s="43"/>
    </row>
    <row r="12" spans="1:21" ht="15">
      <c r="A12" s="2" t="s">
        <v>14</v>
      </c>
      <c r="B12" s="35"/>
      <c r="C12" s="36"/>
      <c r="D12" s="38">
        <v>274.89</v>
      </c>
      <c r="E12" s="41">
        <v>483.7</v>
      </c>
      <c r="F12" s="38">
        <v>586.8</v>
      </c>
      <c r="G12" s="41">
        <v>622.8</v>
      </c>
      <c r="H12" s="114">
        <v>645.84</v>
      </c>
      <c r="I12" s="43">
        <v>621.6</v>
      </c>
      <c r="J12" s="114">
        <v>362.51</v>
      </c>
      <c r="K12" s="43">
        <v>348.9</v>
      </c>
      <c r="L12" s="38">
        <v>98.69</v>
      </c>
      <c r="M12" s="43">
        <v>89.8</v>
      </c>
      <c r="N12" s="38">
        <v>59.68</v>
      </c>
      <c r="O12" s="43">
        <v>54.3</v>
      </c>
      <c r="P12" s="38">
        <v>500.95</v>
      </c>
      <c r="Q12" s="43">
        <v>309.8</v>
      </c>
      <c r="R12" s="38"/>
      <c r="S12" s="43"/>
      <c r="T12" s="38"/>
      <c r="U12" s="43"/>
    </row>
    <row r="13" spans="1:21" ht="15">
      <c r="A13" s="2" t="s">
        <v>15</v>
      </c>
      <c r="B13" s="35"/>
      <c r="C13" s="36"/>
      <c r="D13" s="38"/>
      <c r="E13" s="41"/>
      <c r="F13" s="38">
        <v>0</v>
      </c>
      <c r="G13" s="41">
        <v>0</v>
      </c>
      <c r="H13" s="114"/>
      <c r="I13" s="43"/>
      <c r="J13" s="114"/>
      <c r="K13" s="43">
        <v>0</v>
      </c>
      <c r="L13" s="38">
        <v>89.46</v>
      </c>
      <c r="M13" s="43">
        <v>81.4</v>
      </c>
      <c r="N13" s="38">
        <v>50.12</v>
      </c>
      <c r="O13" s="43">
        <v>45.4</v>
      </c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/>
      <c r="C14" s="36"/>
      <c r="D14" s="38"/>
      <c r="E14" s="41"/>
      <c r="F14" s="38">
        <v>145.42</v>
      </c>
      <c r="G14" s="41">
        <v>146.3</v>
      </c>
      <c r="H14" s="114"/>
      <c r="I14" s="43"/>
      <c r="J14" s="114">
        <v>126.77</v>
      </c>
      <c r="K14" s="43">
        <v>135</v>
      </c>
      <c r="L14" s="38"/>
      <c r="M14" s="43"/>
      <c r="N14" s="38">
        <v>36.71</v>
      </c>
      <c r="O14" s="43">
        <v>33.4</v>
      </c>
      <c r="P14" s="38">
        <v>115.96</v>
      </c>
      <c r="Q14" s="43">
        <v>55.3</v>
      </c>
      <c r="R14" s="38">
        <v>649.69</v>
      </c>
      <c r="S14" s="43">
        <v>264.1</v>
      </c>
      <c r="T14" s="38"/>
      <c r="U14" s="43"/>
    </row>
    <row r="15" spans="1:21" ht="15">
      <c r="A15" s="2" t="s">
        <v>17</v>
      </c>
      <c r="B15" s="35"/>
      <c r="C15" s="36"/>
      <c r="D15" s="38"/>
      <c r="E15" s="41"/>
      <c r="F15" s="38">
        <v>0</v>
      </c>
      <c r="G15" s="41">
        <v>0</v>
      </c>
      <c r="H15" s="114"/>
      <c r="I15" s="43"/>
      <c r="J15" s="114"/>
      <c r="K15" s="43">
        <v>0</v>
      </c>
      <c r="L15" s="38">
        <v>193.21</v>
      </c>
      <c r="M15" s="43">
        <v>175.8</v>
      </c>
      <c r="N15" s="38"/>
      <c r="O15" s="43"/>
      <c r="P15" s="38"/>
      <c r="Q15" s="43"/>
      <c r="R15" s="38"/>
      <c r="S15" s="43"/>
      <c r="T15" s="38"/>
      <c r="U15" s="43"/>
    </row>
    <row r="16" spans="1:21" ht="15">
      <c r="A16" s="2" t="s">
        <v>18</v>
      </c>
      <c r="B16" s="35"/>
      <c r="C16" s="36"/>
      <c r="D16" s="38">
        <v>199.86</v>
      </c>
      <c r="E16" s="41">
        <v>260.1</v>
      </c>
      <c r="F16" s="38">
        <v>0</v>
      </c>
      <c r="G16" s="41">
        <v>0</v>
      </c>
      <c r="H16" s="114">
        <v>311.49</v>
      </c>
      <c r="I16" s="43">
        <v>299.8</v>
      </c>
      <c r="J16" s="114">
        <v>192.4</v>
      </c>
      <c r="K16" s="43">
        <v>204.9</v>
      </c>
      <c r="L16" s="38"/>
      <c r="M16" s="43"/>
      <c r="N16" s="38">
        <f>279.89+254.91</f>
        <v>534.8</v>
      </c>
      <c r="O16" s="43">
        <f>167.6+150.3</f>
        <v>317.9</v>
      </c>
      <c r="P16" s="38">
        <v>869.63</v>
      </c>
      <c r="Q16" s="43">
        <v>414.7</v>
      </c>
      <c r="R16" s="38">
        <v>748.33</v>
      </c>
      <c r="S16" s="43">
        <v>304.2</v>
      </c>
      <c r="T16" s="38"/>
      <c r="U16" s="43"/>
    </row>
    <row r="17" spans="1:21" ht="15">
      <c r="A17" s="2" t="s">
        <v>19</v>
      </c>
      <c r="B17" s="35">
        <v>335.46</v>
      </c>
      <c r="C17" s="36">
        <v>604</v>
      </c>
      <c r="D17" s="38">
        <v>345.26</v>
      </c>
      <c r="E17" s="41">
        <v>400.3</v>
      </c>
      <c r="F17" s="38">
        <v>0</v>
      </c>
      <c r="G17" s="41">
        <v>0</v>
      </c>
      <c r="H17" s="114">
        <v>417.68</v>
      </c>
      <c r="I17" s="43">
        <v>402</v>
      </c>
      <c r="J17" s="114">
        <v>446.16</v>
      </c>
      <c r="K17" s="43">
        <v>443.2</v>
      </c>
      <c r="L17" s="38">
        <v>861.28</v>
      </c>
      <c r="M17" s="43">
        <v>783.7</v>
      </c>
      <c r="N17" s="38">
        <f>290.09+256.46+173.5</f>
        <v>720.05</v>
      </c>
      <c r="O17" s="43">
        <f>179.4+158.6+107.3</f>
        <v>445.3</v>
      </c>
      <c r="P17" s="38">
        <v>559.69</v>
      </c>
      <c r="Q17" s="43">
        <v>266.9</v>
      </c>
      <c r="R17" s="38">
        <f>280.69+364.33</f>
        <v>645.02</v>
      </c>
      <c r="S17" s="43">
        <f>114.1+148.1</f>
        <v>262.2</v>
      </c>
      <c r="T17" s="38"/>
      <c r="U17" s="43"/>
    </row>
    <row r="18" spans="1:21" ht="15.75" thickBot="1">
      <c r="A18" s="2" t="s">
        <v>20</v>
      </c>
      <c r="B18" s="35">
        <v>250.22</v>
      </c>
      <c r="C18" s="36">
        <v>513.9</v>
      </c>
      <c r="D18" s="38">
        <v>760.4</v>
      </c>
      <c r="E18" s="41">
        <v>661.47</v>
      </c>
      <c r="F18" s="38">
        <v>1006.43</v>
      </c>
      <c r="G18" s="41">
        <v>1012.5</v>
      </c>
      <c r="H18" s="114"/>
      <c r="I18" s="43"/>
      <c r="J18" s="114">
        <v>629.5</v>
      </c>
      <c r="K18" s="43">
        <v>670.4</v>
      </c>
      <c r="L18" s="38">
        <v>726.66</v>
      </c>
      <c r="M18" s="43">
        <v>661.2</v>
      </c>
      <c r="N18" s="38">
        <f>343.77+691.43</f>
        <v>1035.1999999999998</v>
      </c>
      <c r="O18" s="43">
        <f>212.6+427.6</f>
        <v>640.2</v>
      </c>
      <c r="P18" s="38">
        <v>1588.69</v>
      </c>
      <c r="Q18" s="43">
        <v>757.6</v>
      </c>
      <c r="R18" s="38">
        <f>499.63+498.15+495.94</f>
        <v>1493.72</v>
      </c>
      <c r="S18" s="43">
        <f>203.1+202.5+201.6</f>
        <v>607.2</v>
      </c>
      <c r="T18" s="38"/>
      <c r="U18" s="43"/>
    </row>
    <row r="19" spans="1:21" s="1" customFormat="1" ht="15.75" thickBot="1">
      <c r="A19" s="2" t="s">
        <v>21</v>
      </c>
      <c r="B19" s="37">
        <f aca="true" t="shared" si="0" ref="B19:I19">SUM(B7:B18)</f>
        <v>585.68</v>
      </c>
      <c r="C19" s="40">
        <f t="shared" si="0"/>
        <v>1117.9</v>
      </c>
      <c r="D19" s="93">
        <f t="shared" si="0"/>
        <v>2789.2599999999998</v>
      </c>
      <c r="E19" s="94">
        <f t="shared" si="0"/>
        <v>3874.9699999999993</v>
      </c>
      <c r="F19" s="93">
        <f t="shared" si="0"/>
        <v>3608.7999999999997</v>
      </c>
      <c r="G19" s="94">
        <f t="shared" si="0"/>
        <v>3563.3</v>
      </c>
      <c r="H19" s="117">
        <f t="shared" si="0"/>
        <v>1375.01</v>
      </c>
      <c r="I19" s="52">
        <f t="shared" si="0"/>
        <v>1323.4</v>
      </c>
      <c r="J19" s="117">
        <f aca="true" t="shared" si="1" ref="J19:O19">SUM(J7:J18)</f>
        <v>3867.8599999999997</v>
      </c>
      <c r="K19" s="52">
        <f t="shared" si="1"/>
        <v>3833.7000000000003</v>
      </c>
      <c r="L19" s="133">
        <f t="shared" si="1"/>
        <v>4593.79</v>
      </c>
      <c r="M19" s="89">
        <f t="shared" si="1"/>
        <v>4586.900000000001</v>
      </c>
      <c r="N19" s="133">
        <f t="shared" si="1"/>
        <v>5262.539999999999</v>
      </c>
      <c r="O19" s="89">
        <f t="shared" si="1"/>
        <v>4107.900000000001</v>
      </c>
      <c r="P19" s="133">
        <f aca="true" t="shared" si="2" ref="P19:U19">SUM(P7:P18)</f>
        <v>7242.140000000001</v>
      </c>
      <c r="Q19" s="89">
        <f t="shared" si="2"/>
        <v>4003.8</v>
      </c>
      <c r="R19" s="133">
        <f t="shared" si="2"/>
        <v>8745.09</v>
      </c>
      <c r="S19" s="89">
        <f t="shared" si="2"/>
        <v>3921.3999999999996</v>
      </c>
      <c r="T19" s="133">
        <f t="shared" si="2"/>
        <v>5481.87</v>
      </c>
      <c r="U19" s="89">
        <f t="shared" si="2"/>
        <v>2228.4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9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V10" sqref="V10"/>
    </sheetView>
  </sheetViews>
  <sheetFormatPr defaultColWidth="11.5546875" defaultRowHeight="15"/>
  <cols>
    <col min="1" max="1" width="13.6640625" style="3" bestFit="1" customWidth="1"/>
    <col min="2" max="2" width="8.6640625" style="8" bestFit="1" customWidth="1"/>
    <col min="3" max="3" width="9.6640625" style="0" bestFit="1" customWidth="1"/>
    <col min="4" max="4" width="9.6640625" style="8" bestFit="1" customWidth="1"/>
    <col min="5" max="7" width="9.6640625" style="0" bestFit="1" customWidth="1"/>
    <col min="8" max="8" width="10.3359375" style="111" bestFit="1" customWidth="1"/>
    <col min="9" max="9" width="9.6640625" style="0" bestFit="1" customWidth="1"/>
    <col min="10" max="10" width="10.3359375" style="0" bestFit="1" customWidth="1"/>
    <col min="11" max="15" width="9.6640625" style="0" bestFit="1" customWidth="1"/>
    <col min="16" max="16" width="9.4453125" style="0" customWidth="1"/>
    <col min="17" max="17" width="8.6640625" style="0" customWidth="1"/>
    <col min="18" max="18" width="9.6640625" style="0" bestFit="1" customWidth="1"/>
    <col min="19" max="19" width="8.6640625" style="0" customWidth="1"/>
    <col min="20" max="20" width="9.6640625" style="0" bestFit="1" customWidth="1"/>
    <col min="21" max="16384" width="8.6640625" style="0" customWidth="1"/>
  </cols>
  <sheetData>
    <row r="1" ht="15">
      <c r="A1" s="153" t="s">
        <v>30</v>
      </c>
    </row>
    <row r="2" ht="15.75" thickBot="1"/>
    <row r="3" spans="1:21" s="11" customFormat="1" ht="16.5">
      <c r="A3" s="156"/>
      <c r="B3" s="45">
        <v>1998</v>
      </c>
      <c r="C3" s="53"/>
      <c r="D3" s="26">
        <v>1999</v>
      </c>
      <c r="E3" s="28"/>
      <c r="F3" s="26">
        <v>2000</v>
      </c>
      <c r="G3" s="28"/>
      <c r="H3" s="118">
        <v>2001</v>
      </c>
      <c r="I3" s="53"/>
      <c r="J3" s="118" t="s">
        <v>33</v>
      </c>
      <c r="K3" s="53"/>
      <c r="L3" s="88">
        <v>2003</v>
      </c>
      <c r="M3" s="46"/>
      <c r="N3" s="88">
        <v>2004</v>
      </c>
      <c r="O3" s="46"/>
      <c r="P3" s="88">
        <v>2005</v>
      </c>
      <c r="Q3" s="46"/>
      <c r="R3" s="88">
        <v>2006</v>
      </c>
      <c r="S3" s="46"/>
      <c r="T3" s="88">
        <v>2007</v>
      </c>
      <c r="U3" s="46"/>
    </row>
    <row r="4" spans="1:21" s="5" customFormat="1" ht="15">
      <c r="A4" s="4"/>
      <c r="B4" s="32" t="s">
        <v>5</v>
      </c>
      <c r="C4" s="34"/>
      <c r="D4" s="29" t="s">
        <v>5</v>
      </c>
      <c r="E4" s="31"/>
      <c r="F4" s="29" t="s">
        <v>5</v>
      </c>
      <c r="G4" s="31"/>
      <c r="H4" s="112" t="s">
        <v>5</v>
      </c>
      <c r="I4" s="34"/>
      <c r="J4" s="112" t="s">
        <v>5</v>
      </c>
      <c r="K4" s="34"/>
      <c r="L4" s="81" t="s">
        <v>5</v>
      </c>
      <c r="M4" s="34"/>
      <c r="N4" s="81" t="s">
        <v>5</v>
      </c>
      <c r="O4" s="34"/>
      <c r="P4" s="81" t="s">
        <v>5</v>
      </c>
      <c r="Q4" s="34"/>
      <c r="R4" s="81" t="s">
        <v>5</v>
      </c>
      <c r="S4" s="34"/>
      <c r="T4" s="81" t="s">
        <v>5</v>
      </c>
      <c r="U4" s="34"/>
    </row>
    <row r="5" spans="1:21" s="5" customFormat="1" ht="15">
      <c r="A5" s="4" t="s">
        <v>22</v>
      </c>
      <c r="B5" s="32" t="s">
        <v>8</v>
      </c>
      <c r="C5" s="34" t="s">
        <v>7</v>
      </c>
      <c r="D5" s="29" t="s">
        <v>8</v>
      </c>
      <c r="E5" s="31" t="s">
        <v>7</v>
      </c>
      <c r="F5" s="29" t="s">
        <v>8</v>
      </c>
      <c r="G5" s="31" t="s">
        <v>7</v>
      </c>
      <c r="H5" s="112" t="s">
        <v>8</v>
      </c>
      <c r="I5" s="34" t="s">
        <v>7</v>
      </c>
      <c r="J5" s="112" t="s">
        <v>8</v>
      </c>
      <c r="K5" s="34" t="s">
        <v>7</v>
      </c>
      <c r="L5" s="81" t="s">
        <v>8</v>
      </c>
      <c r="M5" s="34" t="s">
        <v>7</v>
      </c>
      <c r="N5" s="81" t="s">
        <v>8</v>
      </c>
      <c r="O5" s="34" t="s">
        <v>7</v>
      </c>
      <c r="P5" s="81" t="s">
        <v>8</v>
      </c>
      <c r="Q5" s="34" t="s">
        <v>7</v>
      </c>
      <c r="R5" s="81" t="s">
        <v>8</v>
      </c>
      <c r="S5" s="34" t="s">
        <v>7</v>
      </c>
      <c r="T5" s="81" t="s">
        <v>8</v>
      </c>
      <c r="U5" s="34" t="s">
        <v>7</v>
      </c>
    </row>
    <row r="6" spans="1:21" s="5" customFormat="1" ht="15">
      <c r="A6" s="4"/>
      <c r="B6" s="32"/>
      <c r="C6" s="34"/>
      <c r="D6" s="32"/>
      <c r="E6" s="34"/>
      <c r="F6" s="32"/>
      <c r="G6" s="34"/>
      <c r="H6" s="112"/>
      <c r="I6" s="34"/>
      <c r="J6" s="112"/>
      <c r="K6" s="34"/>
      <c r="L6" s="81"/>
      <c r="M6" s="34"/>
      <c r="N6" s="81"/>
      <c r="O6" s="34"/>
      <c r="P6" s="81"/>
      <c r="Q6" s="34"/>
      <c r="R6" s="81"/>
      <c r="S6" s="34"/>
      <c r="T6" s="81"/>
      <c r="U6" s="34"/>
    </row>
    <row r="7" spans="1:21" ht="15">
      <c r="A7" s="2" t="s">
        <v>9</v>
      </c>
      <c r="B7" s="35"/>
      <c r="C7" s="43"/>
      <c r="D7" s="38">
        <v>556.58</v>
      </c>
      <c r="E7" s="41">
        <v>1068.9</v>
      </c>
      <c r="F7" s="38">
        <v>926.94</v>
      </c>
      <c r="G7" s="41">
        <v>977.5</v>
      </c>
      <c r="H7" s="113">
        <v>639.34</v>
      </c>
      <c r="I7" s="83">
        <v>643.2</v>
      </c>
      <c r="J7" s="113">
        <v>971.47</v>
      </c>
      <c r="K7" s="83">
        <v>935</v>
      </c>
      <c r="L7" s="38">
        <v>979.47</v>
      </c>
      <c r="M7" s="43">
        <v>1043.1</v>
      </c>
      <c r="N7" s="38">
        <v>1215.73</v>
      </c>
      <c r="O7" s="43">
        <v>1106.2</v>
      </c>
      <c r="P7" s="38">
        <f>370.62+368.68+364.04</f>
        <v>1103.34</v>
      </c>
      <c r="Q7" s="43">
        <f>229.2+228+214</f>
        <v>671.2</v>
      </c>
      <c r="R7" s="38">
        <v>1522.63</v>
      </c>
      <c r="S7" s="43">
        <v>726.1</v>
      </c>
      <c r="T7" s="38">
        <f>538.74+533.08+1049.68</f>
        <v>2121.5</v>
      </c>
      <c r="U7" s="43">
        <f>219+216.7+426.7</f>
        <v>862.4</v>
      </c>
    </row>
    <row r="8" spans="1:21" ht="15">
      <c r="A8" s="2" t="s">
        <v>10</v>
      </c>
      <c r="B8" s="35"/>
      <c r="C8" s="43"/>
      <c r="D8" s="38">
        <v>580.06</v>
      </c>
      <c r="E8" s="41">
        <v>1106.4</v>
      </c>
      <c r="F8" s="38">
        <v>922.37</v>
      </c>
      <c r="G8" s="41">
        <v>666.5</v>
      </c>
      <c r="H8" s="113">
        <v>1291.4</v>
      </c>
      <c r="I8" s="83">
        <v>1299.2</v>
      </c>
      <c r="J8" s="113">
        <v>1013.44</v>
      </c>
      <c r="K8" s="83">
        <v>975.4</v>
      </c>
      <c r="L8" s="38">
        <v>933.56</v>
      </c>
      <c r="M8" s="43">
        <v>994.2</v>
      </c>
      <c r="N8" s="38">
        <v>817.77</v>
      </c>
      <c r="O8" s="43">
        <v>744.1</v>
      </c>
      <c r="P8" s="38">
        <f>417.19+480.25+452.76</f>
        <v>1350.2</v>
      </c>
      <c r="Q8" s="43">
        <f>258+297+280</f>
        <v>835</v>
      </c>
      <c r="R8" s="38">
        <v>1026.06</v>
      </c>
      <c r="S8" s="43">
        <v>489.3</v>
      </c>
      <c r="T8" s="38">
        <f>722.75+885.11</f>
        <v>1607.8600000000001</v>
      </c>
      <c r="U8" s="43">
        <f>293.8+359.8</f>
        <v>653.6</v>
      </c>
    </row>
    <row r="9" spans="1:21" ht="15">
      <c r="A9" s="2" t="s">
        <v>11</v>
      </c>
      <c r="B9" s="35"/>
      <c r="C9" s="43"/>
      <c r="D9" s="38">
        <v>374.63</v>
      </c>
      <c r="E9" s="41">
        <v>670.9</v>
      </c>
      <c r="F9" s="38">
        <v>683.17</v>
      </c>
      <c r="G9" s="41">
        <v>650.7</v>
      </c>
      <c r="H9" s="114">
        <v>702.26</v>
      </c>
      <c r="I9" s="43">
        <v>706.5</v>
      </c>
      <c r="J9" s="114">
        <v>1287.32</v>
      </c>
      <c r="K9" s="43">
        <v>1239</v>
      </c>
      <c r="L9" s="38">
        <v>699.08</v>
      </c>
      <c r="M9" s="43">
        <v>744.5</v>
      </c>
      <c r="N9" s="38">
        <v>989.32</v>
      </c>
      <c r="O9" s="43">
        <v>900.2</v>
      </c>
      <c r="P9" s="38">
        <f>371.91+649.23+321.78</f>
        <v>1342.92</v>
      </c>
      <c r="Q9" s="43">
        <f>230+401.5+199</f>
        <v>830.5</v>
      </c>
      <c r="R9" s="38">
        <v>1442.94</v>
      </c>
      <c r="S9" s="43">
        <v>688.1</v>
      </c>
      <c r="T9" s="38">
        <f>523.98+530.38+634.93+361.13</f>
        <v>2050.42</v>
      </c>
      <c r="U9" s="43">
        <f>213+215.6+258.1+146.8</f>
        <v>833.5</v>
      </c>
    </row>
    <row r="10" spans="1:21" ht="15">
      <c r="A10" s="2" t="s">
        <v>23</v>
      </c>
      <c r="B10" s="35"/>
      <c r="C10" s="43"/>
      <c r="D10" s="38">
        <v>481.56</v>
      </c>
      <c r="E10" s="41">
        <v>806.9</v>
      </c>
      <c r="F10" s="38">
        <v>651.52</v>
      </c>
      <c r="G10" s="41">
        <v>709.8</v>
      </c>
      <c r="H10" s="114">
        <v>1072.51</v>
      </c>
      <c r="I10" s="43">
        <v>894.5</v>
      </c>
      <c r="J10" s="114">
        <v>0</v>
      </c>
      <c r="K10" s="43">
        <v>0</v>
      </c>
      <c r="L10" s="38">
        <v>779.18</v>
      </c>
      <c r="M10" s="43">
        <v>829.8</v>
      </c>
      <c r="N10" s="38">
        <v>640.83</v>
      </c>
      <c r="O10" s="43">
        <v>583.1</v>
      </c>
      <c r="P10" s="38">
        <v>1044.59</v>
      </c>
      <c r="Q10" s="43">
        <v>646</v>
      </c>
      <c r="R10" s="38">
        <v>731.64</v>
      </c>
      <c r="S10" s="43">
        <v>348.9</v>
      </c>
      <c r="T10" s="38">
        <v>537.26</v>
      </c>
      <c r="U10" s="43">
        <v>218.4</v>
      </c>
    </row>
    <row r="11" spans="1:21" ht="15">
      <c r="A11" s="2" t="s">
        <v>13</v>
      </c>
      <c r="B11" s="35"/>
      <c r="C11" s="43"/>
      <c r="D11" s="38"/>
      <c r="E11" s="41"/>
      <c r="F11" s="38">
        <v>803.25</v>
      </c>
      <c r="G11" s="41">
        <v>787.5</v>
      </c>
      <c r="H11" s="114">
        <v>723.66</v>
      </c>
      <c r="I11" s="43">
        <v>696.5</v>
      </c>
      <c r="J11" s="114">
        <v>797.43</v>
      </c>
      <c r="K11" s="43">
        <v>767.5</v>
      </c>
      <c r="L11" s="38">
        <v>861.53</v>
      </c>
      <c r="M11" s="43">
        <v>917.5</v>
      </c>
      <c r="N11" s="38">
        <f>432.68+255.19</f>
        <v>687.87</v>
      </c>
      <c r="O11" s="43">
        <f>393.7+232.2</f>
        <v>625.9</v>
      </c>
      <c r="P11" s="38">
        <v>486.4</v>
      </c>
      <c r="Q11" s="43">
        <v>300.8</v>
      </c>
      <c r="R11" s="38">
        <v>277.01</v>
      </c>
      <c r="S11" s="43">
        <v>132.1</v>
      </c>
      <c r="T11" s="38"/>
      <c r="U11" s="43"/>
    </row>
    <row r="12" spans="1:21" ht="15">
      <c r="A12" s="2" t="s">
        <v>14</v>
      </c>
      <c r="B12" s="35"/>
      <c r="C12" s="43"/>
      <c r="D12" s="38">
        <v>508.63</v>
      </c>
      <c r="E12" s="41">
        <v>895</v>
      </c>
      <c r="F12" s="38">
        <v>119.48</v>
      </c>
      <c r="G12" s="41">
        <v>124.5</v>
      </c>
      <c r="H12" s="114"/>
      <c r="I12" s="43"/>
      <c r="J12" s="114">
        <v>453</v>
      </c>
      <c r="K12" s="43">
        <v>436</v>
      </c>
      <c r="L12" s="38">
        <v>277.72</v>
      </c>
      <c r="M12" s="43">
        <v>252.7</v>
      </c>
      <c r="N12" s="38">
        <v>3.08</v>
      </c>
      <c r="O12" s="43">
        <v>2.8</v>
      </c>
      <c r="P12" s="38">
        <v>369.65</v>
      </c>
      <c r="Q12" s="43">
        <v>228.6</v>
      </c>
      <c r="R12" s="38">
        <v>433.87</v>
      </c>
      <c r="S12" s="43">
        <v>206.9</v>
      </c>
      <c r="T12" s="38"/>
      <c r="U12" s="43"/>
    </row>
    <row r="13" spans="1:21" ht="15">
      <c r="A13" s="2" t="s">
        <v>15</v>
      </c>
      <c r="B13" s="35"/>
      <c r="C13" s="43"/>
      <c r="D13" s="38"/>
      <c r="E13" s="41"/>
      <c r="F13" s="38">
        <v>0</v>
      </c>
      <c r="G13" s="41">
        <v>0</v>
      </c>
      <c r="H13" s="114"/>
      <c r="I13" s="43"/>
      <c r="J13" s="114">
        <v>0</v>
      </c>
      <c r="K13" s="43">
        <v>0</v>
      </c>
      <c r="L13" s="38">
        <v>127.7</v>
      </c>
      <c r="M13" s="43">
        <v>116.2</v>
      </c>
      <c r="N13" s="38">
        <v>48.36</v>
      </c>
      <c r="O13" s="43">
        <v>43.8</v>
      </c>
      <c r="P13" s="38"/>
      <c r="Q13" s="43"/>
      <c r="R13" s="38"/>
      <c r="S13" s="43"/>
      <c r="T13" s="38"/>
      <c r="U13" s="43"/>
    </row>
    <row r="14" spans="1:21" ht="15">
      <c r="A14" s="2" t="s">
        <v>16</v>
      </c>
      <c r="B14" s="35"/>
      <c r="C14" s="43"/>
      <c r="D14" s="38">
        <v>1.98</v>
      </c>
      <c r="E14" s="41">
        <v>2.7</v>
      </c>
      <c r="F14" s="38">
        <v>0.99</v>
      </c>
      <c r="G14" s="41">
        <v>1</v>
      </c>
      <c r="H14" s="114">
        <v>51.85</v>
      </c>
      <c r="I14" s="43">
        <v>49.9</v>
      </c>
      <c r="J14" s="114">
        <v>1.03</v>
      </c>
      <c r="K14" s="43">
        <v>1.1</v>
      </c>
      <c r="L14" s="38"/>
      <c r="M14" s="43"/>
      <c r="N14" s="38">
        <v>2.64</v>
      </c>
      <c r="O14" s="43">
        <v>2.4</v>
      </c>
      <c r="P14" s="38">
        <v>117.43</v>
      </c>
      <c r="Q14" s="43">
        <v>56</v>
      </c>
      <c r="R14" s="38">
        <v>389.17</v>
      </c>
      <c r="S14" s="43">
        <v>158.2</v>
      </c>
      <c r="T14" s="38"/>
      <c r="U14" s="43"/>
    </row>
    <row r="15" spans="1:21" ht="15">
      <c r="A15" s="2" t="s">
        <v>17</v>
      </c>
      <c r="B15" s="35"/>
      <c r="C15" s="43"/>
      <c r="D15" s="38"/>
      <c r="E15" s="41"/>
      <c r="F15" s="38">
        <v>0</v>
      </c>
      <c r="G15" s="41">
        <v>0</v>
      </c>
      <c r="H15" s="114"/>
      <c r="I15" s="43"/>
      <c r="J15" s="114">
        <v>0</v>
      </c>
      <c r="K15" s="43">
        <v>0</v>
      </c>
      <c r="L15" s="38">
        <v>80.12</v>
      </c>
      <c r="M15" s="43">
        <v>72.9</v>
      </c>
      <c r="N15" s="38"/>
      <c r="O15" s="43"/>
      <c r="P15" s="38"/>
      <c r="Q15" s="43"/>
      <c r="R15" s="38"/>
      <c r="S15" s="43"/>
      <c r="T15" s="38"/>
      <c r="U15" s="43"/>
    </row>
    <row r="16" spans="1:21" ht="15">
      <c r="A16" s="2" t="s">
        <v>18</v>
      </c>
      <c r="B16" s="35">
        <v>234.4</v>
      </c>
      <c r="C16" s="43">
        <v>484</v>
      </c>
      <c r="D16" s="38">
        <v>288.76</v>
      </c>
      <c r="E16" s="41">
        <v>375.8</v>
      </c>
      <c r="F16" s="38">
        <v>357.54</v>
      </c>
      <c r="G16" s="41">
        <v>359.7</v>
      </c>
      <c r="H16" s="114">
        <v>1016.25</v>
      </c>
      <c r="I16" s="43">
        <v>978.1</v>
      </c>
      <c r="J16" s="114">
        <v>776.6</v>
      </c>
      <c r="K16" s="43">
        <v>729.23</v>
      </c>
      <c r="L16" s="38">
        <v>517.19</v>
      </c>
      <c r="M16" s="43">
        <v>470.6</v>
      </c>
      <c r="N16" s="38">
        <f>243.15+497.1</f>
        <v>740.25</v>
      </c>
      <c r="O16" s="43">
        <f>145.6+293.1</f>
        <v>438.70000000000005</v>
      </c>
      <c r="P16" s="38">
        <v>491.75</v>
      </c>
      <c r="Q16" s="43">
        <v>281.89</v>
      </c>
      <c r="R16" s="38">
        <v>1171.94</v>
      </c>
      <c r="S16" s="43">
        <v>476.4</v>
      </c>
      <c r="T16" s="38"/>
      <c r="U16" s="43"/>
    </row>
    <row r="17" spans="1:21" ht="15">
      <c r="A17" s="2" t="s">
        <v>19</v>
      </c>
      <c r="B17" s="35">
        <v>336.38</v>
      </c>
      <c r="C17" s="43">
        <v>632.6</v>
      </c>
      <c r="D17" s="38">
        <v>898.72</v>
      </c>
      <c r="E17" s="41">
        <v>1092.9</v>
      </c>
      <c r="F17" s="38">
        <v>1382.86</v>
      </c>
      <c r="G17" s="41">
        <v>1391.2</v>
      </c>
      <c r="H17" s="114">
        <v>1078.17</v>
      </c>
      <c r="I17" s="43">
        <v>1037.7</v>
      </c>
      <c r="J17" s="114">
        <v>914.13</v>
      </c>
      <c r="K17" s="43">
        <v>973.5</v>
      </c>
      <c r="L17" s="38">
        <v>810.62</v>
      </c>
      <c r="M17" s="43">
        <v>737.6</v>
      </c>
      <c r="N17" s="38">
        <f>453.41+391.64+250.64</f>
        <v>1095.69</v>
      </c>
      <c r="O17" s="43">
        <f>280.4+242.2+155</f>
        <v>677.5999999999999</v>
      </c>
      <c r="P17" s="38">
        <v>557.18</v>
      </c>
      <c r="Q17" s="43">
        <v>265.7</v>
      </c>
      <c r="R17" s="38">
        <f>262.24+686.83</f>
        <v>949.07</v>
      </c>
      <c r="S17" s="43">
        <f>106.6+279.2</f>
        <v>385.79999999999995</v>
      </c>
      <c r="T17" s="38"/>
      <c r="U17" s="43"/>
    </row>
    <row r="18" spans="1:21" ht="15.75" thickBot="1">
      <c r="A18" s="2" t="s">
        <v>20</v>
      </c>
      <c r="B18" s="99">
        <v>263.56</v>
      </c>
      <c r="C18" s="86">
        <v>541.3</v>
      </c>
      <c r="D18" s="38">
        <v>899.04</v>
      </c>
      <c r="E18" s="41">
        <v>1052.2</v>
      </c>
      <c r="F18" s="38">
        <v>1098.46</v>
      </c>
      <c r="G18" s="41">
        <v>1107.1</v>
      </c>
      <c r="H18" s="114">
        <v>594.2</v>
      </c>
      <c r="I18" s="43">
        <v>571.9</v>
      </c>
      <c r="J18" s="114">
        <v>491.76</v>
      </c>
      <c r="K18" s="43">
        <v>523.7</v>
      </c>
      <c r="L18" s="38">
        <v>1016.67</v>
      </c>
      <c r="M18" s="43">
        <v>916.9</v>
      </c>
      <c r="N18" s="38">
        <f>508.87+461.17+354.28</f>
        <v>1324.32</v>
      </c>
      <c r="O18" s="43">
        <f>314.7+285.2+219.1</f>
        <v>819</v>
      </c>
      <c r="P18" s="38">
        <v>1996.13</v>
      </c>
      <c r="Q18" s="43">
        <v>951.9</v>
      </c>
      <c r="R18" s="38">
        <f>589.42+526.44+620.41</f>
        <v>1736.27</v>
      </c>
      <c r="S18" s="43">
        <f>239.6+214+252.2</f>
        <v>705.8</v>
      </c>
      <c r="T18" s="38"/>
      <c r="U18" s="43"/>
    </row>
    <row r="19" spans="1:21" s="1" customFormat="1" ht="15.75" thickBot="1">
      <c r="A19" s="2" t="s">
        <v>21</v>
      </c>
      <c r="B19" s="37">
        <f aca="true" t="shared" si="0" ref="B19:G19">SUM(B7:B18)</f>
        <v>834.3399999999999</v>
      </c>
      <c r="C19" s="52">
        <f t="shared" si="0"/>
        <v>1657.8999999999999</v>
      </c>
      <c r="D19" s="93">
        <f t="shared" si="0"/>
        <v>4589.96</v>
      </c>
      <c r="E19" s="94">
        <f t="shared" si="0"/>
        <v>7071.7</v>
      </c>
      <c r="F19" s="93">
        <f t="shared" si="0"/>
        <v>6946.579999999999</v>
      </c>
      <c r="G19" s="94">
        <f t="shared" si="0"/>
        <v>6775.5</v>
      </c>
      <c r="H19" s="117">
        <f aca="true" t="shared" si="1" ref="H19:M19">SUM(H7:H18)</f>
        <v>7169.64</v>
      </c>
      <c r="I19" s="52">
        <f t="shared" si="1"/>
        <v>6877.499999999999</v>
      </c>
      <c r="J19" s="117">
        <f t="shared" si="1"/>
        <v>6706.18</v>
      </c>
      <c r="K19" s="52">
        <f t="shared" si="1"/>
        <v>6580.429999999999</v>
      </c>
      <c r="L19" s="133">
        <f t="shared" si="1"/>
        <v>7082.839999999999</v>
      </c>
      <c r="M19" s="89">
        <f t="shared" si="1"/>
        <v>7096</v>
      </c>
      <c r="N19" s="133">
        <f aca="true" t="shared" si="2" ref="N19:S19">SUM(N7:N18)</f>
        <v>7565.860000000001</v>
      </c>
      <c r="O19" s="89">
        <f t="shared" si="2"/>
        <v>5943.800000000001</v>
      </c>
      <c r="P19" s="133">
        <f t="shared" si="2"/>
        <v>8859.59</v>
      </c>
      <c r="Q19" s="89">
        <f t="shared" si="2"/>
        <v>5067.589999999999</v>
      </c>
      <c r="R19" s="133">
        <f t="shared" si="2"/>
        <v>9680.6</v>
      </c>
      <c r="S19" s="89">
        <f t="shared" si="2"/>
        <v>4317.6</v>
      </c>
      <c r="T19" s="133">
        <f>SUM(T7:T18)</f>
        <v>6317.040000000001</v>
      </c>
      <c r="U19" s="89">
        <f>SUM(U7:U18)</f>
        <v>2567.9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Gemmell</dc:creator>
  <cp:keywords/>
  <dc:description/>
  <cp:lastModifiedBy>IT Services</cp:lastModifiedBy>
  <cp:lastPrinted>2002-04-09T13:01:26Z</cp:lastPrinted>
  <dcterms:created xsi:type="dcterms:W3CDTF">1998-10-26T19:38:48Z</dcterms:created>
  <dcterms:modified xsi:type="dcterms:W3CDTF">2007-04-26T14:26:02Z</dcterms:modified>
  <cp:category/>
  <cp:version/>
  <cp:contentType/>
  <cp:contentStatus/>
</cp:coreProperties>
</file>